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drawings/drawing2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1355" windowHeight="8445"/>
  </bookViews>
  <sheets>
    <sheet name="proracun" sheetId="1" r:id="rId1"/>
    <sheet name="proracun (2)" sheetId="4" r:id="rId2"/>
    <sheet name="materijal" sheetId="2" r:id="rId3"/>
    <sheet name="Sheet3" sheetId="3" r:id="rId4"/>
  </sheets>
  <definedNames>
    <definedName name="OLE_LINK1" localSheetId="3">Sheet3!$A$1</definedName>
  </definedNames>
  <calcPr calcId="145621"/>
</workbook>
</file>

<file path=xl/calcChain.xml><?xml version="1.0" encoding="utf-8"?>
<calcChain xmlns="http://schemas.openxmlformats.org/spreadsheetml/2006/main">
  <c r="C59" i="1" l="1"/>
  <c r="C58" i="1"/>
  <c r="C52" i="1"/>
  <c r="C51" i="1"/>
  <c r="C50" i="1"/>
  <c r="C63" i="4" l="1"/>
  <c r="C54" i="4"/>
  <c r="C52" i="4"/>
  <c r="C53" i="4" s="1"/>
  <c r="C50" i="4"/>
  <c r="C51" i="4" s="1"/>
  <c r="C46" i="4"/>
  <c r="C44" i="4" s="1"/>
  <c r="B47" i="4" s="1"/>
  <c r="C38" i="4"/>
  <c r="C36" i="4"/>
  <c r="C33" i="4"/>
  <c r="C31" i="4" s="1"/>
  <c r="C34" i="4" s="1"/>
  <c r="C27" i="4"/>
  <c r="C16" i="4"/>
  <c r="C15" i="4" s="1"/>
  <c r="C18" i="4" s="1"/>
  <c r="C57" i="1"/>
  <c r="C38" i="1"/>
  <c r="C31" i="1"/>
  <c r="C55" i="4" l="1"/>
  <c r="B49" i="4" s="1"/>
  <c r="C35" i="4"/>
  <c r="B48" i="4" s="1"/>
  <c r="C30" i="4"/>
  <c r="C16" i="1"/>
  <c r="C15" i="1" s="1"/>
  <c r="C18" i="1" s="1"/>
  <c r="E11" i="2"/>
  <c r="C57" i="4" l="1"/>
  <c r="C37" i="4"/>
  <c r="C39" i="4" s="1"/>
  <c r="C41" i="4" s="1"/>
  <c r="B43" i="4" s="1"/>
  <c r="C61" i="4"/>
  <c r="C58" i="4"/>
  <c r="C59" i="4" s="1"/>
  <c r="C63" i="1"/>
  <c r="C61" i="1" s="1"/>
  <c r="C53" i="1"/>
  <c r="E9" i="2" l="1"/>
  <c r="C54" i="1"/>
  <c r="C46" i="1" l="1"/>
  <c r="C44" i="1" s="1"/>
  <c r="B47" i="1" s="1"/>
  <c r="C27" i="1"/>
  <c r="C36" i="1"/>
  <c r="C33" i="1"/>
  <c r="C34" i="1" s="1"/>
  <c r="C35" i="1" l="1"/>
  <c r="C30" i="1"/>
  <c r="C37" i="1" s="1"/>
  <c r="C55" i="1"/>
  <c r="B49" i="1" s="1"/>
  <c r="B48" i="1"/>
  <c r="C39" i="1" l="1"/>
  <c r="C41" i="1" s="1"/>
  <c r="B43" i="1" s="1"/>
</calcChain>
</file>

<file path=xl/sharedStrings.xml><?xml version="1.0" encoding="utf-8"?>
<sst xmlns="http://schemas.openxmlformats.org/spreadsheetml/2006/main" count="292" uniqueCount="137">
  <si>
    <t>Opterećenje</t>
  </si>
  <si>
    <t>N</t>
  </si>
  <si>
    <t>Broj radnika</t>
  </si>
  <si>
    <t>n</t>
  </si>
  <si>
    <t>Sl.1.a</t>
  </si>
  <si>
    <t>Materijal navojnog vretena</t>
  </si>
  <si>
    <t>Č.0460</t>
  </si>
  <si>
    <t>Materijal navrtke</t>
  </si>
  <si>
    <t>Bronza</t>
  </si>
  <si>
    <t>Visina dizanja</t>
  </si>
  <si>
    <t>mm</t>
  </si>
  <si>
    <t>Koeficijent trenja</t>
  </si>
  <si>
    <t>Potreban stepen sigurnosti</t>
  </si>
  <si>
    <t>s</t>
  </si>
  <si>
    <t>Rješenje zadatka</t>
  </si>
  <si>
    <t>Predhodni proračun</t>
  </si>
  <si>
    <t>Granica tečenja</t>
  </si>
  <si>
    <t>Koeficijent kvaliteta izrade</t>
  </si>
  <si>
    <t>Minimalna površina jezgra</t>
  </si>
  <si>
    <t>Dozvoljeni napon na pritisak</t>
  </si>
  <si>
    <t>Prečnik navoja</t>
  </si>
  <si>
    <t>d=</t>
  </si>
  <si>
    <t>Korak navoja</t>
  </si>
  <si>
    <t>P</t>
  </si>
  <si>
    <t>Srednji precnik</t>
  </si>
  <si>
    <t>Prečnik jezgra</t>
  </si>
  <si>
    <t>Dubina nošenja</t>
  </si>
  <si>
    <t>Ugao nagiba zavojnice</t>
  </si>
  <si>
    <t>°</t>
  </si>
  <si>
    <t>Završni proračun navojnog vretena</t>
  </si>
  <si>
    <t>Nmm</t>
  </si>
  <si>
    <t>Ugao profila</t>
  </si>
  <si>
    <t>a</t>
  </si>
  <si>
    <t>radijana</t>
  </si>
  <si>
    <t>Ugao trenja</t>
  </si>
  <si>
    <t>r</t>
  </si>
  <si>
    <t>RADIJANS(C31)</t>
  </si>
  <si>
    <t>ATAN (C30)</t>
  </si>
  <si>
    <t>DEGRES (C33)</t>
  </si>
  <si>
    <t>ROUND 0.6*c20</t>
  </si>
  <si>
    <t>ROUND((C8/cos(C32/2)))</t>
  </si>
  <si>
    <t>RADIJANS(C25)</t>
  </si>
  <si>
    <t>ROUND((C1*TAN(C26+C33)*0.5*C22)+(C1*C8*C35))</t>
  </si>
  <si>
    <t>Napon uvijanja u jezgru</t>
  </si>
  <si>
    <t>Površina jezgra navoja</t>
  </si>
  <si>
    <t>ROUND((16*c29)/(PI()*C23^3))</t>
  </si>
  <si>
    <t>Napon pritiska u jezgru</t>
  </si>
  <si>
    <t>ROUND((C1)/(C27))</t>
  </si>
  <si>
    <t>Složeni napon u jezgru</t>
  </si>
  <si>
    <t>ROUND(((C37^2)+((C15/C39)*C36)^2^)^0.5)</t>
  </si>
  <si>
    <t>ROUND(C15/C38)</t>
  </si>
  <si>
    <t>Preporučena visina navrtke</t>
  </si>
  <si>
    <t>38.4 do 48</t>
  </si>
  <si>
    <t>Usvojena visina</t>
  </si>
  <si>
    <t>ROUND((1.41*C20);0)</t>
  </si>
  <si>
    <t>ROUND((C1*C21)/(C45*C22*PI()*C24))</t>
  </si>
  <si>
    <t>RM</t>
  </si>
  <si>
    <t>Č.0560</t>
  </si>
  <si>
    <t>Č.0660</t>
  </si>
  <si>
    <t>HB</t>
  </si>
  <si>
    <r>
      <t>Re</t>
    </r>
    <r>
      <rPr>
        <sz val="8"/>
        <rFont val="Arial"/>
        <family val="2"/>
      </rPr>
      <t>H</t>
    </r>
  </si>
  <si>
    <r>
      <t>Re</t>
    </r>
    <r>
      <rPr>
        <b/>
        <sz val="8"/>
        <rFont val="Arial"/>
        <family val="2"/>
      </rPr>
      <t>H</t>
    </r>
  </si>
  <si>
    <t>Varijanta rješenja</t>
  </si>
  <si>
    <t>Ručna sila</t>
  </si>
  <si>
    <t>Tanges ugla trenja</t>
  </si>
  <si>
    <t>jer je minimalno s=3</t>
  </si>
  <si>
    <t>Provjera na pritisak</t>
  </si>
  <si>
    <t>IF(C40:C40&gt;=C9;"ZADOVOLJAVA";"NEZADOVOLJAVA")</t>
  </si>
  <si>
    <t>Provjera stepena sigurnosti na izvedeni napon</t>
  </si>
  <si>
    <t>jer je za bronzu pd=(15-20)</t>
  </si>
  <si>
    <t>IF(C43&lt;=15;"ZADOVOLJAVA";"NEZADOVOLJAVA")</t>
  </si>
  <si>
    <t>trapezni srednje klase izrade</t>
  </si>
  <si>
    <t>Vrsta navoja i klasa izrade</t>
  </si>
  <si>
    <t>usvojeno</t>
  </si>
  <si>
    <t>Provjera na samokočenje</t>
  </si>
  <si>
    <t>IF(C34&gt;C25;"ZADOVOLJAVA";"NEZADOVOLJAVA")</t>
  </si>
  <si>
    <t>Provjera navojnog vretena na izvijanje</t>
  </si>
  <si>
    <t>Moment inercije</t>
  </si>
  <si>
    <t>poluprecnik inercije</t>
  </si>
  <si>
    <t>slobodna duzina</t>
  </si>
  <si>
    <t>zatezna cvrstoca navojnog vretena</t>
  </si>
  <si>
    <t>Povrsinski pritisak u navojnom spoju</t>
  </si>
  <si>
    <r>
      <t>F*tg(</t>
    </r>
    <r>
      <rPr>
        <sz val="12"/>
        <rFont val="GreekC"/>
        <charset val="238"/>
      </rPr>
      <t>f</t>
    </r>
    <r>
      <rPr>
        <sz val="12"/>
        <rFont val="Arial"/>
        <family val="2"/>
        <charset val="238"/>
      </rPr>
      <t>+</t>
    </r>
    <r>
      <rPr>
        <sz val="12"/>
        <rFont val="GreekC"/>
        <charset val="238"/>
      </rPr>
      <t>r</t>
    </r>
    <r>
      <rPr>
        <sz val="12"/>
        <rFont val="Arial"/>
        <family val="2"/>
        <charset val="238"/>
      </rPr>
      <t>)*0.5</t>
    </r>
    <r>
      <rPr>
        <sz val="12"/>
        <rFont val="Arial"/>
        <family val="2"/>
      </rPr>
      <t>d2+F*</t>
    </r>
    <r>
      <rPr>
        <sz val="12"/>
        <rFont val="GreekC"/>
        <charset val="238"/>
      </rPr>
      <t>µ</t>
    </r>
    <r>
      <rPr>
        <sz val="12"/>
        <rFont val="Arial"/>
        <family val="2"/>
      </rPr>
      <t>*rm</t>
    </r>
  </si>
  <si>
    <t>Stvarni stepen sigurnosti poprecnog presjeka navoja</t>
  </si>
  <si>
    <t>vitkost navojnog vretena</t>
  </si>
  <si>
    <t>Lo=L+50</t>
  </si>
  <si>
    <t>provjera po Tetmajeru</t>
  </si>
  <si>
    <t>IF(C55&gt;4;"ZADOVOLJAVA";"NEZADOVOLJAVA")</t>
  </si>
  <si>
    <t>Proracun rucice</t>
  </si>
  <si>
    <t>Najmanja vrijednost granice uvija.</t>
  </si>
  <si>
    <t>ROUND(C30/(C58*C4*0,8);0)</t>
  </si>
  <si>
    <t>Ukupna duzina rucice, uzimajuci u obzir i duzinu navoja za kugle</t>
  </si>
  <si>
    <t>L=L1*2+1,8*d+100</t>
  </si>
  <si>
    <t>Usvojeno</t>
  </si>
  <si>
    <t>L</t>
  </si>
  <si>
    <t>krak rucice kad na nju djeluju 2 radnika</t>
  </si>
  <si>
    <t>precnik kucice</t>
  </si>
  <si>
    <t>dozvoljeni napon</t>
  </si>
  <si>
    <t>LOOKUP(materijal!B4;materijal!B4:B7;materijal!B5:D5)</t>
  </si>
  <si>
    <t>LOOKUP(materijal!B4;materijal!B4:B7;materijal!B5:D5)/C10</t>
  </si>
  <si>
    <t>Ostale geometrijske mjere-određuju se prema preporukama datim uz zadatak i konstrukciono</t>
  </si>
  <si>
    <t>l=Lo*8/d3</t>
  </si>
  <si>
    <t>jer je smin=4</t>
  </si>
  <si>
    <t xml:space="preserve">
</t>
  </si>
  <si>
    <t>ROUND((C16/C10);2)</t>
  </si>
  <si>
    <t>ROUND(((1,25*C2)/(C15*C17));2)</t>
  </si>
  <si>
    <t>F</t>
  </si>
  <si>
    <t>h</t>
  </si>
  <si>
    <t>LOOKUP(materijal!C4;materijal!A5:D5;materijal!C5:C7)</t>
  </si>
  <si>
    <t>Fr</t>
  </si>
  <si>
    <t>Moment uvijanja   Mu</t>
  </si>
  <si>
    <r>
      <t>r</t>
    </r>
    <r>
      <rPr>
        <sz val="12"/>
        <rFont val="Arial"/>
        <family val="2"/>
      </rPr>
      <t>m=0.6*d</t>
    </r>
  </si>
  <si>
    <r>
      <t>l</t>
    </r>
    <r>
      <rPr>
        <sz val="12"/>
        <rFont val="Arial"/>
        <family val="2"/>
      </rPr>
      <t>n=(1.2 do1.5)d</t>
    </r>
  </si>
  <si>
    <r>
      <t>l</t>
    </r>
    <r>
      <rPr>
        <sz val="12"/>
        <rFont val="Arial"/>
        <family val="2"/>
      </rPr>
      <t>n=1.41d</t>
    </r>
  </si>
  <si>
    <r>
      <t xml:space="preserve">jer je </t>
    </r>
    <r>
      <rPr>
        <sz val="12"/>
        <rFont val="GreekC"/>
        <charset val="238"/>
      </rPr>
      <t>r&gt; f</t>
    </r>
  </si>
  <si>
    <t xml:space="preserve">PRORAČUN RUČNE DIZALICE SA NAVOJNIM VRETENOM
</t>
  </si>
  <si>
    <t>ROUND((C54-0,7*D53)/C38;2)</t>
  </si>
  <si>
    <t>krak rucice kad na nju djeluju 1 radnika</t>
  </si>
  <si>
    <t>Usvajamo privremeno trapezni navoj    Tr 30x6    JUS.M.B0.062</t>
  </si>
  <si>
    <t>Srednji prečnik dodira glave dizalice i navojnog vretena</t>
  </si>
  <si>
    <r>
      <t>d</t>
    </r>
    <r>
      <rPr>
        <sz val="12"/>
        <rFont val="Arial"/>
        <family val="2"/>
      </rPr>
      <t>2</t>
    </r>
  </si>
  <si>
    <r>
      <t>d</t>
    </r>
    <r>
      <rPr>
        <sz val="12"/>
        <rFont val="Arial"/>
        <family val="2"/>
      </rPr>
      <t>3</t>
    </r>
  </si>
  <si>
    <r>
      <t>H</t>
    </r>
    <r>
      <rPr>
        <sz val="12"/>
        <rFont val="Arial"/>
        <family val="2"/>
      </rPr>
      <t>1</t>
    </r>
  </si>
  <si>
    <r>
      <t>A</t>
    </r>
    <r>
      <rPr>
        <sz val="12"/>
        <rFont val="Arial"/>
        <family val="2"/>
      </rPr>
      <t>3</t>
    </r>
  </si>
  <si>
    <t>kolutni lezaj 51304</t>
  </si>
  <si>
    <t>staticka nosivost</t>
  </si>
  <si>
    <t>C0</t>
  </si>
  <si>
    <t>D</t>
  </si>
  <si>
    <t>spoljni precnik koluta lezaja</t>
  </si>
  <si>
    <t>Usvajamo privremeno trapezni navoj   Tr 30x6  JUS.M.B0.062</t>
  </si>
  <si>
    <t>ROUND(PI()*POWER(C24;4)/64;2)</t>
  </si>
  <si>
    <t>ROUND(SQRT(C50/C28);2)</t>
  </si>
  <si>
    <t>C8+50</t>
  </si>
  <si>
    <t>ROUND(C30/C3;0)</t>
  </si>
  <si>
    <t>C58+1,8*C21+100</t>
  </si>
  <si>
    <t>ROUND(POWER(32*C30/(PI()*C63);0,3333);0)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</si>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</sst>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4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GreekC"/>
      <charset val="238"/>
    </font>
    <font>
      <sz val="10"/>
      <name val="Adobe Caslon Pro"/>
      <family val="1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dobe Caslon Pro"/>
      <family val="1"/>
    </font>
    <font>
      <sz val="12"/>
      <name val="Arial"/>
      <family val="2"/>
    </font>
    <font>
      <b/>
      <u/>
      <sz val="16"/>
      <name val="Arial"/>
      <family val="2"/>
      <charset val="238"/>
    </font>
    <font>
      <sz val="12"/>
      <name val="Arial"/>
      <family val="2"/>
      <charset val="238"/>
    </font>
    <font>
      <sz val="12"/>
      <name val="GreekC"/>
      <charset val="238"/>
    </font>
    <font>
      <b/>
      <u/>
      <sz val="16"/>
      <name val="Calibri"/>
      <family val="2"/>
    </font>
    <font>
      <sz val="12"/>
      <name val="Adobe Caslon Pro"/>
      <family val="1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NumberFormat="1"/>
    <xf numFmtId="0" fontId="0" fillId="0" borderId="0" xfId="0" applyNumberFormat="1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5" fillId="0" borderId="3" xfId="0" applyFont="1" applyBorder="1" applyAlignment="1">
      <alignment horizontal="center" vertical="center"/>
    </xf>
    <xf numFmtId="0" fontId="9" fillId="0" borderId="3" xfId="0" applyFont="1" applyBorder="1"/>
    <xf numFmtId="0" fontId="7" fillId="0" borderId="3" xfId="0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16" fillId="0" borderId="3" xfId="0" applyFont="1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18" fontId="1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6" fillId="0" borderId="0" xfId="0" applyFont="1" applyAlignment="1">
      <alignment wrapText="1"/>
    </xf>
    <xf numFmtId="0" fontId="17" fillId="0" borderId="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5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0" fillId="0" borderId="0" xfId="0" applyBorder="1"/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0" fillId="0" borderId="5" xfId="0" applyBorder="1"/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0" borderId="5" xfId="0" applyFont="1" applyBorder="1"/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18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8</xdr:row>
          <xdr:rowOff>66675</xdr:rowOff>
        </xdr:from>
        <xdr:to>
          <xdr:col>1</xdr:col>
          <xdr:colOff>1000125</xdr:colOff>
          <xdr:row>8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16</xdr:row>
          <xdr:rowOff>66675</xdr:rowOff>
        </xdr:from>
        <xdr:to>
          <xdr:col>1</xdr:col>
          <xdr:colOff>942975</xdr:colOff>
          <xdr:row>17</xdr:row>
          <xdr:rowOff>28575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17</xdr:row>
          <xdr:rowOff>47625</xdr:rowOff>
        </xdr:from>
        <xdr:to>
          <xdr:col>1</xdr:col>
          <xdr:colOff>1714500</xdr:colOff>
          <xdr:row>18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57150</xdr:rowOff>
        </xdr:from>
        <xdr:to>
          <xdr:col>1</xdr:col>
          <xdr:colOff>1143000</xdr:colOff>
          <xdr:row>15</xdr:row>
          <xdr:rowOff>38100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30</xdr:row>
          <xdr:rowOff>76200</xdr:rowOff>
        </xdr:from>
        <xdr:to>
          <xdr:col>1</xdr:col>
          <xdr:colOff>1314450</xdr:colOff>
          <xdr:row>30</xdr:row>
          <xdr:rowOff>466725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36</xdr:row>
          <xdr:rowOff>66675</xdr:rowOff>
        </xdr:from>
        <xdr:to>
          <xdr:col>1</xdr:col>
          <xdr:colOff>1247775</xdr:colOff>
          <xdr:row>36</xdr:row>
          <xdr:rowOff>504825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37</xdr:row>
          <xdr:rowOff>123825</xdr:rowOff>
        </xdr:from>
        <xdr:to>
          <xdr:col>1</xdr:col>
          <xdr:colOff>1181100</xdr:colOff>
          <xdr:row>37</xdr:row>
          <xdr:rowOff>552450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39</xdr:row>
          <xdr:rowOff>47625</xdr:rowOff>
        </xdr:from>
        <xdr:to>
          <xdr:col>1</xdr:col>
          <xdr:colOff>1019175</xdr:colOff>
          <xdr:row>39</xdr:row>
          <xdr:rowOff>276225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38</xdr:row>
          <xdr:rowOff>76200</xdr:rowOff>
        </xdr:from>
        <xdr:to>
          <xdr:col>1</xdr:col>
          <xdr:colOff>1733550</xdr:colOff>
          <xdr:row>38</xdr:row>
          <xdr:rowOff>847725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40</xdr:row>
          <xdr:rowOff>76200</xdr:rowOff>
        </xdr:from>
        <xdr:to>
          <xdr:col>1</xdr:col>
          <xdr:colOff>1104900</xdr:colOff>
          <xdr:row>41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43</xdr:row>
          <xdr:rowOff>76200</xdr:rowOff>
        </xdr:from>
        <xdr:to>
          <xdr:col>1</xdr:col>
          <xdr:colOff>1714500</xdr:colOff>
          <xdr:row>44</xdr:row>
          <xdr:rowOff>9525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3</xdr:col>
      <xdr:colOff>28575</xdr:colOff>
      <xdr:row>14</xdr:row>
      <xdr:rowOff>47625</xdr:rowOff>
    </xdr:from>
    <xdr:ext cx="8001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6372225" y="3457575"/>
              <a:ext cx="8001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372225" y="3457575"/>
              <a:ext cx="8001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15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6343650" y="38385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7" name="TextBox 26"/>
            <xdr:cNvSpPr txBox="1"/>
          </xdr:nvSpPr>
          <xdr:spPr>
            <a:xfrm>
              <a:off x="6343650" y="38385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104775</xdr:colOff>
      <xdr:row>17</xdr:row>
      <xdr:rowOff>133350</xdr:rowOff>
    </xdr:from>
    <xdr:ext cx="58102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48425" y="4514850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48425" y="4514850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152400</xdr:colOff>
      <xdr:row>27</xdr:row>
      <xdr:rowOff>9525</xdr:rowOff>
    </xdr:from>
    <xdr:ext cx="58102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6496050" y="7181850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6496050" y="7181850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36</xdr:row>
      <xdr:rowOff>95250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6419850" y="100584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6419850" y="100584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37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6343650" y="104298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6343650" y="104298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38</xdr:row>
      <xdr:rowOff>314325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6343650" y="111918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6343650" y="111918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39</xdr:row>
      <xdr:rowOff>38100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6419850" y="117729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6419850" y="117729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43</xdr:row>
      <xdr:rowOff>85725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6419850" y="132778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6419850" y="132778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46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/>
            <xdr:cNvSpPr txBox="1"/>
          </xdr:nvSpPr>
          <xdr:spPr>
            <a:xfrm>
              <a:off x="6343650" y="141827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5" name="TextBox 34"/>
            <xdr:cNvSpPr txBox="1"/>
          </xdr:nvSpPr>
          <xdr:spPr>
            <a:xfrm>
              <a:off x="6343650" y="141827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742950</xdr:colOff>
      <xdr:row>25</xdr:row>
      <xdr:rowOff>19050</xdr:rowOff>
    </xdr:from>
    <xdr:ext cx="3714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3190875" y="6753225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𝜑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190875" y="6753225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𝜑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704850</xdr:colOff>
      <xdr:row>25</xdr:row>
      <xdr:rowOff>295275</xdr:rowOff>
    </xdr:from>
    <xdr:ext cx="3714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/>
            <xdr:cNvSpPr txBox="1"/>
          </xdr:nvSpPr>
          <xdr:spPr>
            <a:xfrm>
              <a:off x="3152775" y="7029450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𝜑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7" name="TextBox 36"/>
            <xdr:cNvSpPr txBox="1"/>
          </xdr:nvSpPr>
          <xdr:spPr>
            <a:xfrm>
              <a:off x="3152775" y="7029450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𝜑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95250</xdr:colOff>
      <xdr:row>49</xdr:row>
      <xdr:rowOff>47625</xdr:rowOff>
    </xdr:from>
    <xdr:ext cx="1638300" cy="2669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543175" y="17316450"/>
              <a:ext cx="1638300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𝜋</m:t>
                    </m:r>
                    <m:sSubSup>
                      <m:sSubSup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Sup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𝑑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e>
                      <m:sub/>
                      <m:sup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4</m:t>
                        </m:r>
                      </m:sup>
                    </m:sSubSup>
                    <m:r>
                      <a:rPr lang="sr-Latn-BA" sz="1100" b="0" i="1">
                        <a:latin typeface="Cambria Math"/>
                        <a:ea typeface="Cambria Math"/>
                      </a:rPr>
                      <m:t>/64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543175" y="17316450"/>
              <a:ext cx="1638300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𝐼_𝑚𝑖𝑛=</a:t>
              </a:r>
              <a:r>
                <a:rPr lang="sr-Latn-BA" sz="1100" b="0" i="0">
                  <a:latin typeface="Cambria Math"/>
                  <a:ea typeface="Cambria Math"/>
                </a:rPr>
                <a:t>𝜋〖𝑑1〗_^4/64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180975</xdr:colOff>
      <xdr:row>49</xdr:row>
      <xdr:rowOff>0</xdr:rowOff>
    </xdr:from>
    <xdr:ext cx="581025" cy="2669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/>
            <xdr:cNvSpPr txBox="1"/>
          </xdr:nvSpPr>
          <xdr:spPr>
            <a:xfrm>
              <a:off x="6524625" y="15154275"/>
              <a:ext cx="581025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41" name="TextBox 40"/>
            <xdr:cNvSpPr txBox="1"/>
          </xdr:nvSpPr>
          <xdr:spPr>
            <a:xfrm>
              <a:off x="6524625" y="15154275"/>
              <a:ext cx="581025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𝑚𝑚〗^4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190499</xdr:colOff>
      <xdr:row>50</xdr:row>
      <xdr:rowOff>9525</xdr:rowOff>
    </xdr:from>
    <xdr:ext cx="1400176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638424" y="17583150"/>
              <a:ext cx="140017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𝑖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sr-Latn-BA" sz="1100" b="0" i="1">
                            <a:latin typeface="Cambria Math"/>
                          </a:rPr>
                        </m:ctrlPr>
                      </m:radPr>
                      <m:deg/>
                      <m:e>
                        <m:f>
                          <m:fPr>
                            <m:type m:val="skw"/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𝑚𝑖𝑛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638424" y="17583150"/>
              <a:ext cx="140017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𝑖_𝑚𝑖𝑛=√(𝐼_𝑚𝑖𝑛⁄𝐴_3 )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53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/>
            <xdr:cNvSpPr txBox="1"/>
          </xdr:nvSpPr>
          <xdr:spPr>
            <a:xfrm>
              <a:off x="6343650" y="164592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44" name="TextBox 43"/>
            <xdr:cNvSpPr txBox="1"/>
          </xdr:nvSpPr>
          <xdr:spPr>
            <a:xfrm>
              <a:off x="6343650" y="164592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190500</xdr:colOff>
      <xdr:row>54</xdr:row>
      <xdr:rowOff>66675</xdr:rowOff>
    </xdr:from>
    <xdr:ext cx="1352550" cy="333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2638425" y="18992850"/>
              <a:ext cx="1352550" cy="333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𝑠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(</m:t>
                            </m:r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𝜎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𝑘𝑜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−</m:t>
                        </m:r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  <m:r>
                          <a:rPr lang="sr-Latn-BA" sz="1100" b="0" i="1">
                            <a:latin typeface="Cambria Math"/>
                          </a:rPr>
                          <m:t>∗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𝜆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)</m:t>
                        </m:r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𝜎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𝑝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2638425" y="18992850"/>
              <a:ext cx="1352550" cy="333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sr-Latn-BA" sz="1100" b="0" i="0">
                  <a:latin typeface="Cambria Math"/>
                </a:rPr>
                <a:t>𝑠=(〖(</a:t>
              </a:r>
              <a:r>
                <a:rPr lang="sr-Latn-BA" sz="1100" b="0" i="0">
                  <a:latin typeface="Cambria Math"/>
                  <a:ea typeface="Cambria Math"/>
                </a:rPr>
                <a:t>𝜎〗_</a:t>
              </a:r>
              <a:r>
                <a:rPr lang="sr-Latn-BA" sz="1100" b="0" i="0">
                  <a:latin typeface="Cambria Math"/>
                </a:rPr>
                <a:t>𝑘𝑜−𝑘∗</a:t>
              </a:r>
              <a:r>
                <a:rPr lang="sr-Latn-BA" sz="1100" b="0" i="0">
                  <a:latin typeface="Cambria Math"/>
                  <a:ea typeface="Cambria Math"/>
                </a:rPr>
                <a:t>𝜆))⁄𝜎_</a:t>
              </a:r>
              <a:r>
                <a:rPr lang="sr-Latn-BA" sz="1100" b="0" i="0">
                  <a:latin typeface="Cambria Math"/>
                </a:rPr>
                <a:t>𝑝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167906</xdr:colOff>
      <xdr:row>57</xdr:row>
      <xdr:rowOff>33227</xdr:rowOff>
    </xdr:from>
    <xdr:ext cx="1349449" cy="346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615609" y="19249361"/>
              <a:ext cx="1349449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1=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𝑇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(</m:t>
                        </m:r>
                        <m:r>
                          <a:rPr lang="sr-Latn-BA" sz="1100" b="0" i="1">
                            <a:latin typeface="Cambria Math"/>
                          </a:rPr>
                          <m:t>𝐹𝑟</m:t>
                        </m:r>
                        <m:r>
                          <a:rPr lang="sr-Latn-BA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615609" y="19249361"/>
              <a:ext cx="1349449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𝐿1=𝑇⁄((𝐹𝑟))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95250</xdr:colOff>
      <xdr:row>60</xdr:row>
      <xdr:rowOff>47625</xdr:rowOff>
    </xdr:from>
    <xdr:ext cx="1590675" cy="4367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543175" y="20669250"/>
              <a:ext cx="1590675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𝑑</m:t>
                    </m:r>
                    <m:r>
                      <a:rPr lang="sr-Latn-BA" sz="1100" b="0" i="1">
                        <a:latin typeface="Cambria Math"/>
                      </a:rPr>
                      <m:t>4=</m:t>
                    </m:r>
                    <m:rad>
                      <m:radPr>
                        <m:ctrlPr>
                          <a:rPr lang="sr-Latn-BA" sz="11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sr-Latn-BA" sz="1100" b="0" i="1">
                            <a:latin typeface="Cambria Math"/>
                          </a:rPr>
                          <m:t>3</m:t>
                        </m:r>
                      </m:deg>
                      <m:e>
                        <m:f>
                          <m:fPr>
                            <m:type m:val="skw"/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sr-Latn-BA" sz="1100" b="0" i="1">
                                <a:latin typeface="Cambria Math"/>
                              </a:rPr>
                              <m:t>32∗</m:t>
                            </m:r>
                            <m:r>
                              <a:rPr lang="sr-Latn-BA" sz="1100" b="0" i="1">
                                <a:latin typeface="Cambria Math"/>
                              </a:rPr>
                              <m:t>𝑀</m:t>
                            </m:r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𝜋</m:t>
                            </m:r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𝑑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543175" y="20669250"/>
              <a:ext cx="1590675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sr-Latn-BA" sz="1100" b="0" i="0">
                  <a:latin typeface="Cambria Math"/>
                </a:rPr>
                <a:t>𝑑4=√(3&amp;(32∗𝑀)⁄(</a:t>
              </a:r>
              <a:r>
                <a:rPr lang="sr-Latn-BA" sz="1100" b="0" i="0">
                  <a:latin typeface="Cambria Math"/>
                  <a:ea typeface="Cambria Math"/>
                </a:rPr>
                <a:t>𝜋∗𝜎_𝑑 ))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285750</xdr:colOff>
      <xdr:row>62</xdr:row>
      <xdr:rowOff>85725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733675" y="2123122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sr-Latn-BA" sz="1100" i="1">
                          <a:latin typeface="Cambria Math"/>
                        </a:rPr>
                      </m:ctrlPr>
                    </m:sSubPr>
                    <m:e>
                      <m:r>
                        <a:rPr lang="sr-Latn-BA" sz="1100" i="1">
                          <a:latin typeface="Cambria Math"/>
                          <a:ea typeface="Cambria Math"/>
                        </a:rPr>
                        <m:t>𝜎</m:t>
                      </m:r>
                    </m:e>
                    <m:sub>
                      <m:r>
                        <a:rPr lang="sr-Latn-BA" sz="1100" b="0" i="1">
                          <a:latin typeface="Cambria Math"/>
                        </a:rPr>
                        <m:t>𝑑</m:t>
                      </m:r>
                    </m:sub>
                  </m:sSub>
                </m:oMath>
              </a14:m>
              <a:r>
                <a:rPr lang="sr-Latn-BA" sz="1100"/>
                <a:t>=RM/s</a:t>
              </a:r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2733675" y="2123122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sr-Latn-BA" sz="1100" i="0">
                  <a:latin typeface="Cambria Math"/>
                  <a:ea typeface="Cambria Math"/>
                </a:rPr>
                <a:t>𝜎_</a:t>
              </a:r>
              <a:r>
                <a:rPr lang="sr-Latn-BA" sz="1100" b="0" i="0">
                  <a:latin typeface="Cambria Math"/>
                </a:rPr>
                <a:t>𝑑</a:t>
              </a:r>
              <a:r>
                <a:rPr lang="sr-Latn-BA" sz="1100"/>
                <a:t>=RM/s</a:t>
              </a:r>
            </a:p>
          </xdr:txBody>
        </xdr:sp>
      </mc:Fallback>
    </mc:AlternateContent>
    <xdr:clientData/>
  </xdr:oneCellAnchor>
  <xdr:oneCellAnchor>
    <xdr:from>
      <xdr:col>3</xdr:col>
      <xdr:colOff>66675</xdr:colOff>
      <xdr:row>62</xdr:row>
      <xdr:rowOff>76200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/>
            <xdr:cNvSpPr txBox="1"/>
          </xdr:nvSpPr>
          <xdr:spPr>
            <a:xfrm>
              <a:off x="6410325" y="212217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6" name="TextBox 35"/>
            <xdr:cNvSpPr txBox="1"/>
          </xdr:nvSpPr>
          <xdr:spPr>
            <a:xfrm>
              <a:off x="6410325" y="212217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34998</xdr:colOff>
      <xdr:row>56</xdr:row>
      <xdr:rowOff>55378</xdr:rowOff>
    </xdr:from>
    <xdr:ext cx="1771651" cy="346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2482701" y="18839564"/>
              <a:ext cx="1771651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2=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𝑇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(</m:t>
                        </m:r>
                        <m:r>
                          <a:rPr lang="sr-Latn-BA" sz="1100" b="0" i="1">
                            <a:latin typeface="Cambria Math"/>
                          </a:rPr>
                          <m:t>𝐹𝑟</m:t>
                        </m:r>
                        <m:r>
                          <a:rPr lang="sr-Latn-BA" sz="1100" b="0" i="1">
                            <a:latin typeface="Cambria Math"/>
                          </a:rPr>
                          <m:t>∗</m:t>
                        </m:r>
                        <m:r>
                          <a:rPr lang="sr-Latn-BA" sz="1100" b="0" i="1">
                            <a:latin typeface="Cambria Math"/>
                          </a:rPr>
                          <m:t>𝑛</m:t>
                        </m:r>
                        <m:r>
                          <a:rPr lang="sr-Latn-BA" sz="1100" b="0" i="1">
                            <a:latin typeface="Cambria Math"/>
                          </a:rPr>
                          <m:t>∗0,8)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2482701" y="18839564"/>
              <a:ext cx="1771651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𝐿2=𝑇⁄((𝐹𝑟∗𝑛∗0,8))</a:t>
              </a:r>
              <a:endParaRPr lang="sr-Latn-BA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8</xdr:row>
          <xdr:rowOff>47625</xdr:rowOff>
        </xdr:from>
        <xdr:to>
          <xdr:col>1</xdr:col>
          <xdr:colOff>1209675</xdr:colOff>
          <xdr:row>8</xdr:row>
          <xdr:rowOff>209550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16</xdr:row>
          <xdr:rowOff>28575</xdr:rowOff>
        </xdr:from>
        <xdr:to>
          <xdr:col>1</xdr:col>
          <xdr:colOff>942975</xdr:colOff>
          <xdr:row>16</xdr:row>
          <xdr:rowOff>247650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17</xdr:row>
          <xdr:rowOff>19050</xdr:rowOff>
        </xdr:from>
        <xdr:to>
          <xdr:col>1</xdr:col>
          <xdr:colOff>1714500</xdr:colOff>
          <xdr:row>17</xdr:row>
          <xdr:rowOff>638175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28575</xdr:rowOff>
        </xdr:from>
        <xdr:to>
          <xdr:col>1</xdr:col>
          <xdr:colOff>1143000</xdr:colOff>
          <xdr:row>15</xdr:row>
          <xdr:rowOff>9525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30</xdr:row>
          <xdr:rowOff>38100</xdr:rowOff>
        </xdr:from>
        <xdr:to>
          <xdr:col>1</xdr:col>
          <xdr:colOff>1314450</xdr:colOff>
          <xdr:row>30</xdr:row>
          <xdr:rowOff>428625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36</xdr:row>
          <xdr:rowOff>19050</xdr:rowOff>
        </xdr:from>
        <xdr:to>
          <xdr:col>1</xdr:col>
          <xdr:colOff>1247775</xdr:colOff>
          <xdr:row>36</xdr:row>
          <xdr:rowOff>466725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37</xdr:row>
          <xdr:rowOff>76200</xdr:rowOff>
        </xdr:from>
        <xdr:to>
          <xdr:col>1</xdr:col>
          <xdr:colOff>1181100</xdr:colOff>
          <xdr:row>37</xdr:row>
          <xdr:rowOff>504825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714375</xdr:colOff>
          <xdr:row>39</xdr:row>
          <xdr:rowOff>9525</xdr:rowOff>
        </xdr:from>
        <xdr:to>
          <xdr:col>1</xdr:col>
          <xdr:colOff>1019175</xdr:colOff>
          <xdr:row>39</xdr:row>
          <xdr:rowOff>238125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38</xdr:row>
          <xdr:rowOff>28575</xdr:rowOff>
        </xdr:from>
        <xdr:to>
          <xdr:col>1</xdr:col>
          <xdr:colOff>1733550</xdr:colOff>
          <xdr:row>38</xdr:row>
          <xdr:rowOff>800100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40</xdr:row>
          <xdr:rowOff>38100</xdr:rowOff>
        </xdr:from>
        <xdr:to>
          <xdr:col>1</xdr:col>
          <xdr:colOff>1104900</xdr:colOff>
          <xdr:row>40</xdr:row>
          <xdr:rowOff>485775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43</xdr:row>
          <xdr:rowOff>38100</xdr:rowOff>
        </xdr:from>
        <xdr:to>
          <xdr:col>1</xdr:col>
          <xdr:colOff>1714500</xdr:colOff>
          <xdr:row>43</xdr:row>
          <xdr:rowOff>466725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3</xdr:col>
      <xdr:colOff>28575</xdr:colOff>
      <xdr:row>14</xdr:row>
      <xdr:rowOff>47625</xdr:rowOff>
    </xdr:from>
    <xdr:ext cx="8001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6372225" y="3829050"/>
              <a:ext cx="8001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6372225" y="3829050"/>
              <a:ext cx="8001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15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6343650" y="42100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6343650" y="42100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104775</xdr:colOff>
      <xdr:row>17</xdr:row>
      <xdr:rowOff>133350</xdr:rowOff>
    </xdr:from>
    <xdr:ext cx="58102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6448425" y="4886325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6448425" y="4886325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152400</xdr:colOff>
      <xdr:row>27</xdr:row>
      <xdr:rowOff>9525</xdr:rowOff>
    </xdr:from>
    <xdr:ext cx="58102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6496050" y="7743825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6496050" y="7743825"/>
              <a:ext cx="5810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𝑚𝑚〗^2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36</xdr:row>
      <xdr:rowOff>95250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6419850" y="109537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6419850" y="109537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37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6343650" y="113728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6343650" y="1137285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38</xdr:row>
      <xdr:rowOff>314325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6343650" y="122205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6343650" y="122205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39</xdr:row>
      <xdr:rowOff>38100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6419850" y="128016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6419850" y="12801600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43</xdr:row>
      <xdr:rowOff>85725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6419850" y="144684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6419850" y="144684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46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6343650" y="153638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6343650" y="153638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742950</xdr:colOff>
      <xdr:row>25</xdr:row>
      <xdr:rowOff>19050</xdr:rowOff>
    </xdr:from>
    <xdr:ext cx="3714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/>
            <xdr:cNvSpPr txBox="1"/>
          </xdr:nvSpPr>
          <xdr:spPr>
            <a:xfrm>
              <a:off x="3190875" y="7153275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𝜑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3" name="TextBox 22"/>
            <xdr:cNvSpPr txBox="1"/>
          </xdr:nvSpPr>
          <xdr:spPr>
            <a:xfrm>
              <a:off x="3190875" y="7153275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  <a:ea typeface="Cambria Math"/>
                </a:rPr>
                <a:t>𝜑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704850</xdr:colOff>
      <xdr:row>25</xdr:row>
      <xdr:rowOff>295275</xdr:rowOff>
    </xdr:from>
    <xdr:ext cx="3714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3152775" y="7429500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i="1">
                        <a:latin typeface="Cambria Math"/>
                        <a:ea typeface="Cambria Math"/>
                      </a:rPr>
                      <m:t>𝜑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3152775" y="7429500"/>
              <a:ext cx="3714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i="0">
                  <a:latin typeface="Cambria Math"/>
                  <a:ea typeface="Cambria Math"/>
                </a:rPr>
                <a:t>𝜑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95250</xdr:colOff>
      <xdr:row>49</xdr:row>
      <xdr:rowOff>47625</xdr:rowOff>
    </xdr:from>
    <xdr:ext cx="1638300" cy="2669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/>
            <xdr:cNvSpPr txBox="1"/>
          </xdr:nvSpPr>
          <xdr:spPr>
            <a:xfrm>
              <a:off x="2543175" y="16449675"/>
              <a:ext cx="1638300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>
                      <a:rPr lang="sr-Latn-BA" sz="1100" b="0" i="1">
                        <a:latin typeface="Cambria Math"/>
                        <a:ea typeface="Cambria Math"/>
                      </a:rPr>
                      <m:t>𝜋</m:t>
                    </m:r>
                    <m:sSubSup>
                      <m:sSubSupPr>
                        <m:ctrlPr>
                          <a:rPr lang="sr-Latn-BA" sz="1100" b="0" i="1">
                            <a:latin typeface="Cambria Math"/>
                            <a:ea typeface="Cambria Math"/>
                          </a:rPr>
                        </m:ctrlPr>
                      </m:sSubSupPr>
                      <m:e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𝑑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1</m:t>
                        </m:r>
                      </m:e>
                      <m:sub/>
                      <m:sup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4</m:t>
                        </m:r>
                      </m:sup>
                    </m:sSubSup>
                    <m:r>
                      <a:rPr lang="sr-Latn-BA" sz="1100" b="0" i="1">
                        <a:latin typeface="Cambria Math"/>
                        <a:ea typeface="Cambria Math"/>
                      </a:rPr>
                      <m:t>/64</m:t>
                    </m:r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5" name="TextBox 24"/>
            <xdr:cNvSpPr txBox="1"/>
          </xdr:nvSpPr>
          <xdr:spPr>
            <a:xfrm>
              <a:off x="2543175" y="16449675"/>
              <a:ext cx="1638300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𝐼_𝑚𝑖𝑛=</a:t>
              </a:r>
              <a:r>
                <a:rPr lang="sr-Latn-BA" sz="1100" b="0" i="0">
                  <a:latin typeface="Cambria Math"/>
                  <a:ea typeface="Cambria Math"/>
                </a:rPr>
                <a:t>𝜋〖𝑑1〗_^4/64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180975</xdr:colOff>
      <xdr:row>49</xdr:row>
      <xdr:rowOff>0</xdr:rowOff>
    </xdr:from>
    <xdr:ext cx="581025" cy="2669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/>
            <xdr:cNvSpPr txBox="1"/>
          </xdr:nvSpPr>
          <xdr:spPr>
            <a:xfrm>
              <a:off x="6524625" y="16402050"/>
              <a:ext cx="581025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p>
                      <m:sSupPr>
                        <m:ctrlPr>
                          <a:rPr lang="sr-Latn-BA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sr-Latn-BA" sz="1100" b="0" i="1">
                            <a:latin typeface="Cambria Math"/>
                          </a:rPr>
                          <m:t>𝑚𝑚</m:t>
                        </m:r>
                      </m:e>
                      <m:sup>
                        <m:r>
                          <a:rPr lang="sr-Latn-BA" sz="1100" b="0" i="1">
                            <a:latin typeface="Cambria Math"/>
                          </a:rPr>
                          <m:t>4</m:t>
                        </m:r>
                      </m:sup>
                    </m:sSup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6" name="TextBox 25"/>
            <xdr:cNvSpPr txBox="1"/>
          </xdr:nvSpPr>
          <xdr:spPr>
            <a:xfrm>
              <a:off x="6524625" y="16402050"/>
              <a:ext cx="581025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sr-Latn-BA" sz="1100" i="0">
                  <a:latin typeface="Cambria Math"/>
                </a:rPr>
                <a:t>〖</a:t>
              </a:r>
              <a:r>
                <a:rPr lang="sr-Latn-BA" sz="1100" b="0" i="0">
                  <a:latin typeface="Cambria Math"/>
                </a:rPr>
                <a:t>𝑚𝑚〗^4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190499</xdr:colOff>
      <xdr:row>50</xdr:row>
      <xdr:rowOff>9525</xdr:rowOff>
    </xdr:from>
    <xdr:ext cx="1400176" cy="438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/>
            <xdr:cNvSpPr txBox="1"/>
          </xdr:nvSpPr>
          <xdr:spPr>
            <a:xfrm>
              <a:off x="2638424" y="16716375"/>
              <a:ext cx="140017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r-Latn-BA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sr-Latn-BA" sz="1100" b="0" i="1">
                            <a:latin typeface="Cambria Math"/>
                          </a:rPr>
                          <m:t>𝑖</m:t>
                        </m:r>
                      </m:e>
                      <m:sub>
                        <m:r>
                          <a:rPr lang="sr-Latn-BA" sz="1100" b="0" i="1">
                            <a:latin typeface="Cambria Math"/>
                          </a:rPr>
                          <m:t>𝑚𝑖𝑛</m:t>
                        </m:r>
                      </m:sub>
                    </m:sSub>
                    <m:r>
                      <a:rPr lang="sr-Latn-BA" sz="1100" b="0" i="1"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sr-Latn-BA" sz="1100" b="0" i="1">
                            <a:latin typeface="Cambria Math"/>
                          </a:rPr>
                        </m:ctrlPr>
                      </m:radPr>
                      <m:deg/>
                      <m:e>
                        <m:f>
                          <m:fPr>
                            <m:type m:val="skw"/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𝑚𝑖𝑛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</a:rPr>
                                  <m:t>3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7" name="TextBox 26"/>
            <xdr:cNvSpPr txBox="1"/>
          </xdr:nvSpPr>
          <xdr:spPr>
            <a:xfrm>
              <a:off x="2638424" y="16716375"/>
              <a:ext cx="1400176" cy="438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𝑖_𝑚𝑖𝑛=√(𝐼_𝑚𝑖𝑛⁄𝐴_3 )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3</xdr:col>
      <xdr:colOff>0</xdr:colOff>
      <xdr:row>53</xdr:row>
      <xdr:rowOff>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6343650" y="177069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6343650" y="1770697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190500</xdr:colOff>
      <xdr:row>54</xdr:row>
      <xdr:rowOff>66675</xdr:rowOff>
    </xdr:from>
    <xdr:ext cx="1352550" cy="333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2638425" y="18126075"/>
              <a:ext cx="1352550" cy="333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𝑠</m:t>
                    </m:r>
                    <m:r>
                      <a:rPr lang="sr-Latn-BA" sz="1100" b="0" i="1">
                        <a:latin typeface="Cambria Math"/>
                      </a:rPr>
                      <m:t>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(</m:t>
                            </m:r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𝜎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𝑘𝑜</m:t>
                            </m:r>
                          </m:sub>
                        </m:sSub>
                        <m:r>
                          <a:rPr lang="sr-Latn-BA" sz="1100" b="0" i="1">
                            <a:latin typeface="Cambria Math"/>
                          </a:rPr>
                          <m:t>−</m:t>
                        </m:r>
                        <m:r>
                          <a:rPr lang="sr-Latn-BA" sz="1100" b="0" i="1">
                            <a:latin typeface="Cambria Math"/>
                          </a:rPr>
                          <m:t>𝑘</m:t>
                        </m:r>
                        <m:r>
                          <a:rPr lang="sr-Latn-BA" sz="1100" b="0" i="1">
                            <a:latin typeface="Cambria Math"/>
                          </a:rPr>
                          <m:t>∗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𝜆</m:t>
                        </m:r>
                        <m:r>
                          <a:rPr lang="sr-Latn-BA" sz="1100" b="0" i="1">
                            <a:latin typeface="Cambria Math"/>
                            <a:ea typeface="Cambria Math"/>
                          </a:rPr>
                          <m:t>)</m:t>
                        </m:r>
                      </m:num>
                      <m:den>
                        <m:sSub>
                          <m:sSubPr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𝜎</m:t>
                            </m:r>
                          </m:e>
                          <m:sub>
                            <m:r>
                              <a:rPr lang="sr-Latn-BA" sz="1100" b="0" i="1">
                                <a:latin typeface="Cambria Math"/>
                              </a:rPr>
                              <m:t>𝑝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2638425" y="18126075"/>
              <a:ext cx="1352550" cy="333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𝑠=(〖(</a:t>
              </a:r>
              <a:r>
                <a:rPr lang="sr-Latn-BA" sz="1100" b="0" i="0">
                  <a:latin typeface="Cambria Math"/>
                  <a:ea typeface="Cambria Math"/>
                </a:rPr>
                <a:t>𝜎〗_</a:t>
              </a:r>
              <a:r>
                <a:rPr lang="sr-Latn-BA" sz="1100" b="0" i="0">
                  <a:latin typeface="Cambria Math"/>
                </a:rPr>
                <a:t>𝑘𝑜−𝑘∗</a:t>
              </a:r>
              <a:r>
                <a:rPr lang="sr-Latn-BA" sz="1100" b="0" i="0">
                  <a:latin typeface="Cambria Math"/>
                  <a:ea typeface="Cambria Math"/>
                </a:rPr>
                <a:t>𝜆))⁄𝜎_</a:t>
              </a:r>
              <a:r>
                <a:rPr lang="sr-Latn-BA" sz="1100" b="0" i="0">
                  <a:latin typeface="Cambria Math"/>
                </a:rPr>
                <a:t>𝑝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167906</xdr:colOff>
      <xdr:row>57</xdr:row>
      <xdr:rowOff>33227</xdr:rowOff>
    </xdr:from>
    <xdr:ext cx="1349449" cy="346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2615831" y="19188002"/>
              <a:ext cx="1349449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1=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𝑇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(</m:t>
                        </m:r>
                        <m:r>
                          <a:rPr lang="sr-Latn-BA" sz="1100" b="0" i="1">
                            <a:latin typeface="Cambria Math"/>
                          </a:rPr>
                          <m:t>𝐹𝑟</m:t>
                        </m:r>
                        <m:r>
                          <a:rPr lang="sr-Latn-BA" sz="1100" b="0" i="1">
                            <a:latin typeface="Cambria Math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2615831" y="19188002"/>
              <a:ext cx="1349449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𝐿1=𝑇⁄((𝐹𝑟))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95250</xdr:colOff>
      <xdr:row>60</xdr:row>
      <xdr:rowOff>47625</xdr:rowOff>
    </xdr:from>
    <xdr:ext cx="1590675" cy="4367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2543175" y="20497800"/>
              <a:ext cx="1590675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𝑑</m:t>
                    </m:r>
                    <m:r>
                      <a:rPr lang="sr-Latn-BA" sz="1100" b="0" i="1">
                        <a:latin typeface="Cambria Math"/>
                      </a:rPr>
                      <m:t>4=</m:t>
                    </m:r>
                    <m:rad>
                      <m:radPr>
                        <m:ctrlPr>
                          <a:rPr lang="sr-Latn-BA" sz="1100" b="0" i="1">
                            <a:latin typeface="Cambria Math"/>
                          </a:rPr>
                        </m:ctrlPr>
                      </m:radPr>
                      <m:deg>
                        <m:r>
                          <m:rPr>
                            <m:brk m:alnAt="7"/>
                          </m:rPr>
                          <a:rPr lang="sr-Latn-BA" sz="1100" b="0" i="1">
                            <a:latin typeface="Cambria Math"/>
                          </a:rPr>
                          <m:t>3</m:t>
                        </m:r>
                      </m:deg>
                      <m:e>
                        <m:f>
                          <m:fPr>
                            <m:type m:val="skw"/>
                            <m:ctrlPr>
                              <a:rPr lang="sr-Latn-BA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sr-Latn-BA" sz="1100" b="0" i="1">
                                <a:latin typeface="Cambria Math"/>
                              </a:rPr>
                              <m:t>32∗</m:t>
                            </m:r>
                            <m:r>
                              <a:rPr lang="sr-Latn-BA" sz="1100" b="0" i="1">
                                <a:latin typeface="Cambria Math"/>
                              </a:rPr>
                              <m:t>𝑀</m:t>
                            </m:r>
                          </m:num>
                          <m:den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𝜋</m:t>
                            </m:r>
                            <m:r>
                              <a:rPr lang="sr-Latn-BA" sz="1100" b="0" i="1">
                                <a:latin typeface="Cambria Math"/>
                                <a:ea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𝜎</m:t>
                                </m:r>
                              </m:e>
                              <m:sub>
                                <m:r>
                                  <a:rPr lang="sr-Latn-BA" sz="1100" b="0" i="1">
                                    <a:latin typeface="Cambria Math"/>
                                    <a:ea typeface="Cambria Math"/>
                                  </a:rPr>
                                  <m:t>𝑑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2543175" y="20497800"/>
              <a:ext cx="1590675" cy="436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𝑑4=∛((32∗𝑀)⁄(</a:t>
              </a:r>
              <a:r>
                <a:rPr lang="sr-Latn-BA" sz="1100" b="0" i="0">
                  <a:latin typeface="Cambria Math"/>
                  <a:ea typeface="Cambria Math"/>
                </a:rPr>
                <a:t>𝜋∗𝜎_𝑑 ))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285749</xdr:colOff>
      <xdr:row>62</xdr:row>
      <xdr:rowOff>22152</xdr:rowOff>
    </xdr:from>
    <xdr:ext cx="1065471" cy="3876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3298307" y="21652762"/>
              <a:ext cx="1065471" cy="387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sr-Latn-BA" sz="1400" i="1">
                          <a:latin typeface="Cambria Math"/>
                        </a:rPr>
                      </m:ctrlPr>
                    </m:sSubPr>
                    <m:e>
                      <m:r>
                        <a:rPr lang="sr-Latn-BA" sz="1400" i="1">
                          <a:latin typeface="Cambria Math"/>
                          <a:ea typeface="Cambria Math"/>
                        </a:rPr>
                        <m:t>𝜎</m:t>
                      </m:r>
                    </m:e>
                    <m:sub>
                      <m:r>
                        <a:rPr lang="sr-Latn-BA" sz="1400" b="0" i="1">
                          <a:latin typeface="Cambria Math"/>
                        </a:rPr>
                        <m:t>𝑑</m:t>
                      </m:r>
                    </m:sub>
                  </m:sSub>
                </m:oMath>
              </a14:m>
              <a:r>
                <a:rPr lang="sr-Latn-BA" sz="1400"/>
                <a:t>=RM/s</a:t>
              </a:r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3298307" y="21652762"/>
              <a:ext cx="1065471" cy="387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r>
                <a:rPr lang="sr-Latn-BA" sz="1400" i="0">
                  <a:latin typeface="Cambria Math"/>
                  <a:ea typeface="Cambria Math"/>
                </a:rPr>
                <a:t>𝜎_</a:t>
              </a:r>
              <a:r>
                <a:rPr lang="sr-Latn-BA" sz="1400" b="0" i="0">
                  <a:latin typeface="Cambria Math"/>
                </a:rPr>
                <a:t>𝑑</a:t>
              </a:r>
              <a:r>
                <a:rPr lang="sr-Latn-BA" sz="1400"/>
                <a:t>=RM/s</a:t>
              </a:r>
            </a:p>
          </xdr:txBody>
        </xdr:sp>
      </mc:Fallback>
    </mc:AlternateContent>
    <xdr:clientData/>
  </xdr:oneCellAnchor>
  <xdr:oneCellAnchor>
    <xdr:from>
      <xdr:col>3</xdr:col>
      <xdr:colOff>66675</xdr:colOff>
      <xdr:row>62</xdr:row>
      <xdr:rowOff>76200</xdr:rowOff>
    </xdr:from>
    <xdr:ext cx="838200" cy="3247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6410325" y="215741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sr-Latn-BA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p>
                          <m:sSupPr>
                            <m:ctrlPr>
                              <a:rPr lang="sr-Latn-BA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sr-Latn-BA" sz="1100" b="0" i="1">
                                <a:latin typeface="Cambria Math"/>
                              </a:rPr>
                              <m:t>𝑚𝑚</m:t>
                            </m:r>
                          </m:e>
                          <m:sup>
                            <m:r>
                              <a:rPr lang="sr-Latn-BA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6410325" y="21574125"/>
              <a:ext cx="838200" cy="3247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𝑁⁄〖𝑚𝑚〗^2 </a:t>
              </a:r>
              <a:endParaRPr lang="sr-Latn-BA" sz="1100"/>
            </a:p>
          </xdr:txBody>
        </xdr:sp>
      </mc:Fallback>
    </mc:AlternateContent>
    <xdr:clientData/>
  </xdr:oneCellAnchor>
  <xdr:oneCellAnchor>
    <xdr:from>
      <xdr:col>1</xdr:col>
      <xdr:colOff>34998</xdr:colOff>
      <xdr:row>56</xdr:row>
      <xdr:rowOff>55378</xdr:rowOff>
    </xdr:from>
    <xdr:ext cx="1771651" cy="346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2482923" y="18781528"/>
              <a:ext cx="1771651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Latn-BA" sz="1100" b="0" i="1">
                        <a:latin typeface="Cambria Math"/>
                      </a:rPr>
                      <m:t>𝐿</m:t>
                    </m:r>
                    <m:r>
                      <a:rPr lang="sr-Latn-BA" sz="1100" b="0" i="1">
                        <a:latin typeface="Cambria Math"/>
                      </a:rPr>
                      <m:t>2=</m:t>
                    </m:r>
                    <m:f>
                      <m:fPr>
                        <m:type m:val="skw"/>
                        <m:ctrlPr>
                          <a:rPr lang="sr-Latn-BA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sr-Latn-BA" sz="1100" b="0" i="1">
                            <a:latin typeface="Cambria Math"/>
                          </a:rPr>
                          <m:t>𝑇</m:t>
                        </m:r>
                      </m:num>
                      <m:den>
                        <m:r>
                          <a:rPr lang="sr-Latn-BA" sz="1100" b="0" i="1">
                            <a:latin typeface="Cambria Math"/>
                          </a:rPr>
                          <m:t>(</m:t>
                        </m:r>
                        <m:r>
                          <a:rPr lang="sr-Latn-BA" sz="1100" b="0" i="1">
                            <a:latin typeface="Cambria Math"/>
                          </a:rPr>
                          <m:t>𝐹𝑟</m:t>
                        </m:r>
                        <m:r>
                          <a:rPr lang="sr-Latn-BA" sz="1100" b="0" i="1">
                            <a:latin typeface="Cambria Math"/>
                          </a:rPr>
                          <m:t>∗</m:t>
                        </m:r>
                        <m:r>
                          <a:rPr lang="sr-Latn-BA" sz="1100" b="0" i="1">
                            <a:latin typeface="Cambria Math"/>
                          </a:rPr>
                          <m:t>𝑛</m:t>
                        </m:r>
                        <m:r>
                          <a:rPr lang="sr-Latn-BA" sz="1100" b="0" i="1">
                            <a:latin typeface="Cambria Math"/>
                          </a:rPr>
                          <m:t>∗0,8)</m:t>
                        </m:r>
                      </m:den>
                    </m:f>
                  </m:oMath>
                </m:oMathPara>
              </a14:m>
              <a:endParaRPr lang="sr-Latn-BA" sz="1100"/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2482923" y="18781528"/>
              <a:ext cx="1771651" cy="346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sr-Latn-BA" sz="1100" b="0" i="0">
                  <a:latin typeface="Cambria Math"/>
                </a:rPr>
                <a:t>𝐿2=𝑇⁄((𝐹𝑟∗𝑛∗0,8))</a:t>
              </a:r>
              <a:endParaRPr lang="sr-Latn-BA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9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6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8.bin"/><Relationship Id="rId20" Type="http://schemas.openxmlformats.org/officeDocument/2006/relationships/oleObject" Target="../embeddings/oleObject20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3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22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15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2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17.bin"/><Relationship Id="rId22" Type="http://schemas.openxmlformats.org/officeDocument/2006/relationships/oleObject" Target="../embeddings/oleObject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70"/>
  <sheetViews>
    <sheetView tabSelected="1" topLeftCell="A41" zoomScale="86" zoomScaleNormal="86" workbookViewId="0">
      <selection activeCell="A56" sqref="A56:D56"/>
    </sheetView>
  </sheetViews>
  <sheetFormatPr defaultRowHeight="15" x14ac:dyDescent="0.2"/>
  <cols>
    <col min="1" max="1" width="36.7109375" style="40" customWidth="1"/>
    <col min="2" max="2" width="27.28515625" customWidth="1"/>
    <col min="3" max="3" width="31.140625" customWidth="1"/>
    <col min="4" max="4" width="12.85546875" customWidth="1"/>
    <col min="5" max="5" width="64.85546875" customWidth="1"/>
  </cols>
  <sheetData>
    <row r="1" spans="1:9" ht="25.5" customHeight="1" x14ac:dyDescent="0.25">
      <c r="A1" s="88" t="s">
        <v>115</v>
      </c>
      <c r="B1" s="89"/>
      <c r="C1" s="89"/>
      <c r="D1" s="89"/>
      <c r="E1" s="19"/>
      <c r="F1" s="19"/>
      <c r="G1" s="20"/>
    </row>
    <row r="2" spans="1:9" ht="25.5" customHeight="1" x14ac:dyDescent="0.2">
      <c r="A2" s="34" t="s">
        <v>0</v>
      </c>
      <c r="B2" s="27" t="s">
        <v>106</v>
      </c>
      <c r="C2" s="27">
        <v>20000</v>
      </c>
      <c r="D2" s="26" t="s">
        <v>1</v>
      </c>
      <c r="E2" s="7"/>
      <c r="F2" s="7"/>
      <c r="G2" s="7"/>
    </row>
    <row r="3" spans="1:9" ht="22.5" customHeight="1" x14ac:dyDescent="0.2">
      <c r="A3" s="34" t="s">
        <v>63</v>
      </c>
      <c r="B3" s="27" t="s">
        <v>109</v>
      </c>
      <c r="C3" s="27">
        <v>150</v>
      </c>
      <c r="D3" s="26" t="s">
        <v>1</v>
      </c>
      <c r="E3" s="7"/>
      <c r="F3" s="7"/>
      <c r="G3" s="7"/>
    </row>
    <row r="4" spans="1:9" ht="22.5" customHeight="1" x14ac:dyDescent="0.2">
      <c r="A4" s="34" t="s">
        <v>2</v>
      </c>
      <c r="B4" s="27" t="s">
        <v>3</v>
      </c>
      <c r="C4" s="27">
        <v>2</v>
      </c>
      <c r="D4" s="13"/>
      <c r="E4" s="7"/>
      <c r="F4" s="7"/>
      <c r="G4" s="7"/>
    </row>
    <row r="5" spans="1:9" ht="22.5" customHeight="1" x14ac:dyDescent="0.2">
      <c r="A5" s="34" t="s">
        <v>62</v>
      </c>
      <c r="B5" s="28"/>
      <c r="C5" s="27" t="s">
        <v>4</v>
      </c>
      <c r="D5" s="13"/>
      <c r="E5" s="7"/>
      <c r="F5" s="7"/>
      <c r="G5" s="7"/>
    </row>
    <row r="6" spans="1:9" ht="18.75" customHeight="1" x14ac:dyDescent="0.2">
      <c r="A6" s="34" t="s">
        <v>5</v>
      </c>
      <c r="B6" s="28"/>
      <c r="C6" s="42" t="s">
        <v>6</v>
      </c>
      <c r="D6" s="13"/>
      <c r="E6" s="7"/>
      <c r="F6" s="7"/>
      <c r="G6" s="7"/>
    </row>
    <row r="7" spans="1:9" ht="18.75" customHeight="1" x14ac:dyDescent="0.2">
      <c r="A7" s="34" t="s">
        <v>7</v>
      </c>
      <c r="B7" s="28"/>
      <c r="C7" s="27" t="s">
        <v>8</v>
      </c>
      <c r="D7" s="13"/>
      <c r="E7" s="6"/>
      <c r="F7" s="7"/>
      <c r="G7" s="7"/>
    </row>
    <row r="8" spans="1:9" ht="18.75" customHeight="1" x14ac:dyDescent="0.35">
      <c r="A8" s="34" t="s">
        <v>9</v>
      </c>
      <c r="B8" s="27" t="s">
        <v>107</v>
      </c>
      <c r="C8" s="27">
        <v>150</v>
      </c>
      <c r="D8" s="26" t="s">
        <v>10</v>
      </c>
      <c r="E8" s="7"/>
      <c r="F8" s="7"/>
      <c r="G8" s="7"/>
      <c r="I8" s="3"/>
    </row>
    <row r="9" spans="1:9" ht="18.75" customHeight="1" x14ac:dyDescent="0.2">
      <c r="A9" s="34" t="s">
        <v>11</v>
      </c>
      <c r="B9" s="27"/>
      <c r="C9" s="27">
        <v>0.08</v>
      </c>
      <c r="D9" s="13"/>
      <c r="E9" s="7"/>
      <c r="F9" s="7"/>
      <c r="G9" s="7"/>
    </row>
    <row r="10" spans="1:9" ht="18.75" customHeight="1" x14ac:dyDescent="0.2">
      <c r="A10" s="34" t="s">
        <v>12</v>
      </c>
      <c r="B10" s="27" t="s">
        <v>13</v>
      </c>
      <c r="C10" s="27">
        <v>3</v>
      </c>
      <c r="D10" s="13"/>
      <c r="E10" s="7"/>
      <c r="F10" s="7"/>
      <c r="G10" s="7"/>
    </row>
    <row r="11" spans="1:9" ht="15.75" x14ac:dyDescent="0.25">
      <c r="A11" s="36" t="s">
        <v>72</v>
      </c>
      <c r="B11" s="13"/>
      <c r="C11" s="27" t="s">
        <v>71</v>
      </c>
      <c r="D11" s="13"/>
      <c r="E11" s="7"/>
      <c r="F11" s="7"/>
      <c r="G11" s="7"/>
    </row>
    <row r="12" spans="1:9" ht="21" x14ac:dyDescent="0.2">
      <c r="A12" s="38"/>
      <c r="B12" s="16"/>
      <c r="C12" s="8"/>
      <c r="D12" s="8"/>
      <c r="E12" s="8"/>
      <c r="F12" s="8"/>
      <c r="G12" s="8"/>
    </row>
    <row r="13" spans="1:9" ht="26.25" customHeight="1" x14ac:dyDescent="0.2">
      <c r="A13" s="90" t="s">
        <v>14</v>
      </c>
      <c r="B13" s="91"/>
      <c r="C13" s="91"/>
      <c r="D13" s="91"/>
      <c r="E13" s="25"/>
      <c r="F13" s="25"/>
      <c r="G13" s="25"/>
    </row>
    <row r="14" spans="1:9" ht="22.5" customHeight="1" x14ac:dyDescent="0.25">
      <c r="A14" s="92" t="s">
        <v>15</v>
      </c>
      <c r="B14" s="87"/>
      <c r="C14" s="87"/>
      <c r="D14" s="87"/>
      <c r="E14" s="23"/>
      <c r="F14" s="23"/>
      <c r="G14" s="24"/>
    </row>
    <row r="15" spans="1:9" ht="33.75" customHeight="1" x14ac:dyDescent="0.2">
      <c r="A15" s="30" t="s">
        <v>19</v>
      </c>
      <c r="B15" s="6"/>
      <c r="C15" s="27">
        <f ca="1">ROUND((C16/C10),2)</f>
        <v>80</v>
      </c>
      <c r="D15" s="7"/>
      <c r="E15" s="27" t="s">
        <v>104</v>
      </c>
      <c r="F15" s="9"/>
      <c r="G15" s="7"/>
    </row>
    <row r="16" spans="1:9" ht="22.5" customHeight="1" x14ac:dyDescent="0.25">
      <c r="A16" s="30" t="s">
        <v>16</v>
      </c>
      <c r="B16" s="10" t="s">
        <v>61</v>
      </c>
      <c r="C16" s="42">
        <f ca="1">LOOKUP(materijal!C4,materijal!A5:D5,materijal!C5:C7)</f>
        <v>240</v>
      </c>
      <c r="D16" s="7"/>
      <c r="E16" s="13" t="s">
        <v>108</v>
      </c>
      <c r="F16" s="7"/>
      <c r="G16" s="7"/>
    </row>
    <row r="17" spans="1:7" ht="20.25" customHeight="1" x14ac:dyDescent="0.2">
      <c r="A17" s="30" t="s">
        <v>17</v>
      </c>
      <c r="B17" s="7"/>
      <c r="C17" s="27">
        <v>0.8</v>
      </c>
      <c r="D17" s="7"/>
      <c r="E17" s="27" t="s">
        <v>73</v>
      </c>
      <c r="F17" s="7"/>
      <c r="G17" s="7"/>
    </row>
    <row r="18" spans="1:7" ht="51.75" customHeight="1" x14ac:dyDescent="0.25">
      <c r="A18" s="30" t="s">
        <v>18</v>
      </c>
      <c r="B18" s="5"/>
      <c r="C18" s="27">
        <f ca="1">ROUND(((1.25*C2)/(C15*C17)),0)</f>
        <v>391</v>
      </c>
      <c r="D18" s="7"/>
      <c r="E18" s="27" t="s">
        <v>105</v>
      </c>
      <c r="F18" s="7"/>
      <c r="G18" s="7"/>
    </row>
    <row r="19" spans="1:7" x14ac:dyDescent="0.2">
      <c r="A19" s="39"/>
      <c r="B19" s="7"/>
      <c r="C19" s="11"/>
      <c r="D19" s="7"/>
      <c r="E19" s="7"/>
      <c r="F19" s="7"/>
      <c r="G19" s="7"/>
    </row>
    <row r="20" spans="1:7" ht="24.75" customHeight="1" x14ac:dyDescent="0.2">
      <c r="A20" s="86" t="s">
        <v>129</v>
      </c>
      <c r="B20" s="87"/>
      <c r="C20" s="87"/>
      <c r="D20" s="87"/>
      <c r="E20" s="45"/>
      <c r="F20" s="45"/>
      <c r="G20" s="46"/>
    </row>
    <row r="21" spans="1:7" ht="18.75" customHeight="1" x14ac:dyDescent="0.2">
      <c r="A21" s="30" t="s">
        <v>20</v>
      </c>
      <c r="B21" s="27" t="s">
        <v>21</v>
      </c>
      <c r="C21" s="27">
        <v>30</v>
      </c>
      <c r="D21" s="6" t="s">
        <v>10</v>
      </c>
      <c r="E21" s="7"/>
      <c r="F21" s="7"/>
      <c r="G21" s="7"/>
    </row>
    <row r="22" spans="1:7" ht="18.75" customHeight="1" x14ac:dyDescent="0.2">
      <c r="A22" s="30" t="s">
        <v>22</v>
      </c>
      <c r="B22" s="27" t="s">
        <v>23</v>
      </c>
      <c r="C22" s="27">
        <v>6</v>
      </c>
      <c r="D22" s="6" t="s">
        <v>10</v>
      </c>
      <c r="E22" s="7"/>
      <c r="F22" s="7"/>
      <c r="G22" s="7"/>
    </row>
    <row r="23" spans="1:7" ht="18.75" customHeight="1" x14ac:dyDescent="0.2">
      <c r="A23" s="30" t="s">
        <v>24</v>
      </c>
      <c r="B23" s="27" t="s">
        <v>120</v>
      </c>
      <c r="C23" s="27">
        <v>27</v>
      </c>
      <c r="D23" s="6" t="s">
        <v>10</v>
      </c>
      <c r="E23" s="7"/>
      <c r="F23" s="7"/>
      <c r="G23" s="7"/>
    </row>
    <row r="24" spans="1:7" ht="19.5" customHeight="1" x14ac:dyDescent="0.2">
      <c r="A24" s="30" t="s">
        <v>25</v>
      </c>
      <c r="B24" s="27" t="s">
        <v>121</v>
      </c>
      <c r="C24" s="27">
        <v>23</v>
      </c>
      <c r="D24" s="6" t="s">
        <v>10</v>
      </c>
      <c r="E24" s="6"/>
      <c r="F24" s="7"/>
      <c r="G24" s="7"/>
    </row>
    <row r="25" spans="1:7" ht="20.25" customHeight="1" x14ac:dyDescent="0.2">
      <c r="A25" s="30" t="s">
        <v>26</v>
      </c>
      <c r="B25" s="27" t="s">
        <v>122</v>
      </c>
      <c r="C25" s="27">
        <v>2.5</v>
      </c>
      <c r="D25" s="6" t="s">
        <v>10</v>
      </c>
      <c r="E25" s="7"/>
      <c r="F25" s="7"/>
      <c r="G25" s="7"/>
    </row>
    <row r="26" spans="1:7" ht="24.75" customHeight="1" x14ac:dyDescent="0.5">
      <c r="A26" s="30" t="s">
        <v>27</v>
      </c>
      <c r="B26" s="41"/>
      <c r="C26" s="27">
        <v>4.0599999999999996</v>
      </c>
      <c r="D26" s="12" t="s">
        <v>28</v>
      </c>
      <c r="E26" s="7"/>
      <c r="F26" s="7"/>
      <c r="G26" s="7"/>
    </row>
    <row r="27" spans="1:7" ht="22.5" customHeight="1" x14ac:dyDescent="0.2">
      <c r="A27" s="30" t="s">
        <v>27</v>
      </c>
      <c r="B27" s="41"/>
      <c r="C27" s="27">
        <f>RADIANS(C26)</f>
        <v>7.086036763096977E-2</v>
      </c>
      <c r="D27" s="82" t="s">
        <v>33</v>
      </c>
      <c r="E27" s="6" t="s">
        <v>41</v>
      </c>
      <c r="F27" s="7"/>
      <c r="G27" s="7"/>
    </row>
    <row r="28" spans="1:7" ht="21.75" customHeight="1" x14ac:dyDescent="0.2">
      <c r="A28" s="30" t="s">
        <v>44</v>
      </c>
      <c r="B28" s="27" t="s">
        <v>123</v>
      </c>
      <c r="C28" s="27">
        <v>415</v>
      </c>
      <c r="D28" s="7"/>
      <c r="E28" s="7"/>
      <c r="F28" s="7"/>
      <c r="G28" s="7"/>
    </row>
    <row r="29" spans="1:7" ht="26.25" customHeight="1" x14ac:dyDescent="0.2">
      <c r="A29" s="93" t="s">
        <v>29</v>
      </c>
      <c r="B29" s="91"/>
      <c r="C29" s="91"/>
      <c r="D29" s="91"/>
      <c r="E29" s="21"/>
      <c r="F29" s="21"/>
      <c r="G29" s="22"/>
    </row>
    <row r="30" spans="1:7" ht="39.75" customHeight="1" x14ac:dyDescent="0.2">
      <c r="A30" s="30" t="s">
        <v>110</v>
      </c>
      <c r="B30" s="27" t="s">
        <v>82</v>
      </c>
      <c r="C30" s="27">
        <f>ROUND(((C2*TAN(C27+C34)*0.5*C23)+(C2*C9*C36)),0)</f>
        <v>70571</v>
      </c>
      <c r="D30" s="27" t="s">
        <v>30</v>
      </c>
      <c r="E30" s="27" t="s">
        <v>42</v>
      </c>
      <c r="F30" s="7"/>
      <c r="G30" s="7"/>
    </row>
    <row r="31" spans="1:7" ht="42" customHeight="1" x14ac:dyDescent="0.2">
      <c r="A31" s="30" t="s">
        <v>64</v>
      </c>
      <c r="B31" s="27"/>
      <c r="C31" s="27">
        <f>ROUND(((C9/COS((C33/2)))),5)</f>
        <v>8.2820000000000005E-2</v>
      </c>
      <c r="D31" s="28"/>
      <c r="E31" s="27" t="s">
        <v>40</v>
      </c>
      <c r="F31" s="7"/>
      <c r="G31" s="7"/>
    </row>
    <row r="32" spans="1:7" ht="18.75" customHeight="1" x14ac:dyDescent="0.2">
      <c r="A32" s="30" t="s">
        <v>31</v>
      </c>
      <c r="B32" s="41" t="s">
        <v>32</v>
      </c>
      <c r="C32" s="27">
        <v>30</v>
      </c>
      <c r="D32" s="14" t="s">
        <v>28</v>
      </c>
      <c r="E32" s="27"/>
      <c r="F32" s="7"/>
      <c r="G32" s="7"/>
    </row>
    <row r="33" spans="1:7" ht="17.25" customHeight="1" x14ac:dyDescent="0.2">
      <c r="A33" s="30" t="s">
        <v>31</v>
      </c>
      <c r="B33" s="41" t="s">
        <v>32</v>
      </c>
      <c r="C33" s="27">
        <f>RADIANS((C32))</f>
        <v>0.52359877559829882</v>
      </c>
      <c r="D33" s="27" t="s">
        <v>33</v>
      </c>
      <c r="E33" s="27" t="s">
        <v>36</v>
      </c>
      <c r="F33" s="7"/>
      <c r="G33" s="7"/>
    </row>
    <row r="34" spans="1:7" ht="22.5" customHeight="1" x14ac:dyDescent="0.2">
      <c r="A34" s="30" t="s">
        <v>34</v>
      </c>
      <c r="B34" s="41" t="s">
        <v>35</v>
      </c>
      <c r="C34" s="27">
        <f>ATAN(C31)</f>
        <v>8.2631417170824326E-2</v>
      </c>
      <c r="D34" s="27" t="s">
        <v>33</v>
      </c>
      <c r="E34" s="27" t="s">
        <v>37</v>
      </c>
      <c r="F34" s="7"/>
      <c r="G34" s="7"/>
    </row>
    <row r="35" spans="1:7" ht="18.75" customHeight="1" x14ac:dyDescent="0.2">
      <c r="A35" s="34" t="s">
        <v>34</v>
      </c>
      <c r="B35" s="41" t="s">
        <v>35</v>
      </c>
      <c r="C35" s="27">
        <f>ROUND(DEGREES(C34),3)</f>
        <v>4.734</v>
      </c>
      <c r="D35" s="29" t="s">
        <v>28</v>
      </c>
      <c r="E35" s="27" t="s">
        <v>38</v>
      </c>
      <c r="F35" s="7"/>
      <c r="G35" s="7"/>
    </row>
    <row r="36" spans="1:7" ht="45" customHeight="1" x14ac:dyDescent="0.2">
      <c r="A36" s="30" t="s">
        <v>119</v>
      </c>
      <c r="B36" s="27" t="s">
        <v>111</v>
      </c>
      <c r="C36" s="27">
        <f>ROUND(0.6*C21,2)</f>
        <v>18</v>
      </c>
      <c r="D36" s="27" t="s">
        <v>10</v>
      </c>
      <c r="E36" s="27" t="s">
        <v>39</v>
      </c>
      <c r="F36" s="7"/>
      <c r="G36" s="7"/>
    </row>
    <row r="37" spans="1:7" ht="47.25" customHeight="1" x14ac:dyDescent="0.2">
      <c r="A37" s="37" t="s">
        <v>43</v>
      </c>
      <c r="B37" s="13"/>
      <c r="C37" s="27">
        <f>ROUND((((16*C30)/(PI()*(C24*C24*C24)))),1)</f>
        <v>29.5</v>
      </c>
      <c r="D37" s="28"/>
      <c r="E37" s="27" t="s">
        <v>45</v>
      </c>
      <c r="F37" s="7"/>
      <c r="G37" s="7"/>
    </row>
    <row r="38" spans="1:7" ht="47.25" customHeight="1" x14ac:dyDescent="0.2">
      <c r="A38" s="30" t="s">
        <v>46</v>
      </c>
      <c r="B38" s="13"/>
      <c r="C38" s="27">
        <f>ROUND(((C2)/(C28)),1)</f>
        <v>48.2</v>
      </c>
      <c r="D38" s="28"/>
      <c r="E38" s="27" t="s">
        <v>47</v>
      </c>
      <c r="F38" s="7"/>
      <c r="G38" s="7"/>
    </row>
    <row r="39" spans="1:7" ht="74.25" customHeight="1" x14ac:dyDescent="0.2">
      <c r="A39" s="30" t="s">
        <v>48</v>
      </c>
      <c r="B39" s="13"/>
      <c r="C39" s="27">
        <f ca="1">ROUND((((C38^2)+((C16/C40)*C37)^2)^0.5),2)</f>
        <v>67.459999999999994</v>
      </c>
      <c r="D39" s="28"/>
      <c r="E39" s="27" t="s">
        <v>49</v>
      </c>
      <c r="F39" s="6"/>
      <c r="G39" s="15"/>
    </row>
    <row r="40" spans="1:7" ht="33" customHeight="1" x14ac:dyDescent="0.2">
      <c r="A40" s="30" t="s">
        <v>89</v>
      </c>
      <c r="B40" s="13"/>
      <c r="C40" s="27">
        <v>150</v>
      </c>
      <c r="D40" s="28"/>
      <c r="E40" s="27"/>
      <c r="F40" s="6"/>
      <c r="G40" s="15"/>
    </row>
    <row r="41" spans="1:7" ht="41.25" customHeight="1" x14ac:dyDescent="0.2">
      <c r="A41" s="30" t="s">
        <v>83</v>
      </c>
      <c r="B41" s="13"/>
      <c r="C41" s="27">
        <f ca="1">ROUND((C16/C39),2)</f>
        <v>3.56</v>
      </c>
      <c r="D41" s="13"/>
      <c r="E41" s="27" t="s">
        <v>50</v>
      </c>
      <c r="F41" s="7"/>
      <c r="G41" s="7"/>
    </row>
    <row r="42" spans="1:7" ht="15.75" x14ac:dyDescent="0.2">
      <c r="A42" s="30"/>
      <c r="B42" s="13"/>
      <c r="C42" s="28"/>
      <c r="D42" s="13"/>
      <c r="E42" s="27"/>
      <c r="F42" s="7"/>
      <c r="G42" s="7"/>
    </row>
    <row r="43" spans="1:7" ht="37.5" customHeight="1" x14ac:dyDescent="0.2">
      <c r="A43" s="30" t="s">
        <v>68</v>
      </c>
      <c r="B43" s="31" t="str">
        <f ca="1">IF(C41:C41&gt;=C10,"ZADOVOLJAVA","NEZADOVOLJAVA")</f>
        <v>ZADOVOLJAVA</v>
      </c>
      <c r="C43" s="32" t="s">
        <v>65</v>
      </c>
      <c r="D43" s="26"/>
      <c r="E43" s="27" t="s">
        <v>67</v>
      </c>
      <c r="F43" s="7"/>
      <c r="G43" s="7"/>
    </row>
    <row r="44" spans="1:7" ht="39" customHeight="1" x14ac:dyDescent="0.2">
      <c r="A44" s="30" t="s">
        <v>81</v>
      </c>
      <c r="B44" s="13"/>
      <c r="C44" s="27">
        <f>ROUND(((C2*C22)/(C46*C23*PI()*C25)),2)</f>
        <v>13.47</v>
      </c>
      <c r="D44" s="13"/>
      <c r="E44" s="27" t="s">
        <v>55</v>
      </c>
      <c r="F44" s="7"/>
      <c r="G44" s="7"/>
    </row>
    <row r="45" spans="1:7" ht="21" customHeight="1" x14ac:dyDescent="0.2">
      <c r="A45" s="30" t="s">
        <v>51</v>
      </c>
      <c r="B45" s="26" t="s">
        <v>112</v>
      </c>
      <c r="C45" s="27" t="s">
        <v>52</v>
      </c>
      <c r="D45" s="26" t="s">
        <v>10</v>
      </c>
      <c r="E45" s="27"/>
      <c r="F45" s="7"/>
      <c r="G45" s="7"/>
    </row>
    <row r="46" spans="1:7" ht="17.25" customHeight="1" x14ac:dyDescent="0.2">
      <c r="A46" s="30" t="s">
        <v>53</v>
      </c>
      <c r="B46" s="26" t="s">
        <v>113</v>
      </c>
      <c r="C46" s="27">
        <f>ROUND(1.41*C21,0)</f>
        <v>42</v>
      </c>
      <c r="D46" s="26" t="s">
        <v>10</v>
      </c>
      <c r="E46" s="27" t="s">
        <v>54</v>
      </c>
      <c r="F46" s="7"/>
      <c r="G46" s="7"/>
    </row>
    <row r="47" spans="1:7" ht="24.75" customHeight="1" x14ac:dyDescent="0.2">
      <c r="A47" s="30" t="s">
        <v>66</v>
      </c>
      <c r="B47" s="31" t="str">
        <f>IF(C44&lt;=15,"ZADOVOLJAVA","NEZADOVOLJAVA")</f>
        <v>ZADOVOLJAVA</v>
      </c>
      <c r="C47" s="32" t="s">
        <v>69</v>
      </c>
      <c r="D47" s="13"/>
      <c r="E47" s="27" t="s">
        <v>70</v>
      </c>
      <c r="F47" s="6"/>
      <c r="G47" s="15"/>
    </row>
    <row r="48" spans="1:7" ht="21.75" customHeight="1" x14ac:dyDescent="0.2">
      <c r="A48" s="30" t="s">
        <v>74</v>
      </c>
      <c r="B48" s="27" t="str">
        <f>IF(C35&gt;C26,"ZADOVOLJAVA","NEZADOVOLJAVA")</f>
        <v>ZADOVOLJAVA</v>
      </c>
      <c r="C48" s="27" t="s">
        <v>114</v>
      </c>
      <c r="D48" s="13"/>
      <c r="E48" s="27" t="s">
        <v>75</v>
      </c>
      <c r="F48" s="7"/>
      <c r="G48" s="7"/>
    </row>
    <row r="49" spans="1:7" ht="35.25" customHeight="1" x14ac:dyDescent="0.2">
      <c r="A49" s="30" t="s">
        <v>76</v>
      </c>
      <c r="B49" s="27" t="str">
        <f ca="1">IF(C55&gt;4,"ZADOVOLJAVA","NEZADOVOLJAVA")</f>
        <v>ZADOVOLJAVA</v>
      </c>
      <c r="C49" s="27" t="s">
        <v>102</v>
      </c>
      <c r="D49" s="13"/>
      <c r="E49" s="27" t="s">
        <v>87</v>
      </c>
      <c r="F49" s="7"/>
      <c r="G49" s="7"/>
    </row>
    <row r="50" spans="1:7" ht="24" customHeight="1" x14ac:dyDescent="0.2">
      <c r="A50" s="34" t="s">
        <v>77</v>
      </c>
      <c r="B50" s="13"/>
      <c r="C50" s="27">
        <f>ROUND(PI()*POWER(C24,4)/64,2)</f>
        <v>13736.66</v>
      </c>
      <c r="D50" s="27"/>
      <c r="E50" s="27" t="s">
        <v>130</v>
      </c>
      <c r="F50" s="7"/>
      <c r="G50" s="7"/>
    </row>
    <row r="51" spans="1:7" ht="34.5" customHeight="1" x14ac:dyDescent="0.2">
      <c r="A51" s="34" t="s">
        <v>78</v>
      </c>
      <c r="B51" s="13"/>
      <c r="C51" s="27">
        <f>ROUND(SQRT(C50/C28),2)</f>
        <v>5.75</v>
      </c>
      <c r="D51" s="27" t="s">
        <v>10</v>
      </c>
      <c r="E51" s="27" t="s">
        <v>131</v>
      </c>
      <c r="F51" s="7"/>
      <c r="G51" s="7"/>
    </row>
    <row r="52" spans="1:7" ht="18" customHeight="1" x14ac:dyDescent="0.2">
      <c r="A52" s="34" t="s">
        <v>79</v>
      </c>
      <c r="B52" s="27" t="s">
        <v>85</v>
      </c>
      <c r="C52" s="27">
        <f>C8+50</f>
        <v>200</v>
      </c>
      <c r="D52" s="27" t="s">
        <v>10</v>
      </c>
      <c r="E52" s="27" t="s">
        <v>132</v>
      </c>
      <c r="F52" s="7"/>
      <c r="G52" s="7"/>
    </row>
    <row r="53" spans="1:7" ht="26.25" customHeight="1" x14ac:dyDescent="0.2">
      <c r="A53" s="34" t="s">
        <v>84</v>
      </c>
      <c r="B53" s="27" t="s">
        <v>101</v>
      </c>
      <c r="C53" s="27">
        <f>ROUND(C52*8/C24,2)</f>
        <v>69.569999999999993</v>
      </c>
      <c r="D53" s="27"/>
      <c r="E53" s="27"/>
      <c r="F53" s="7"/>
      <c r="G53" s="7"/>
    </row>
    <row r="54" spans="1:7" ht="27.75" customHeight="1" x14ac:dyDescent="0.2">
      <c r="A54" s="34" t="s">
        <v>80</v>
      </c>
      <c r="B54" s="13"/>
      <c r="C54" s="27">
        <f ca="1">LOOKUP(materijal!B4,materijal!B4:B7,materijal!B5:D5)</f>
        <v>300</v>
      </c>
      <c r="D54" s="27"/>
      <c r="E54" s="27" t="s">
        <v>98</v>
      </c>
      <c r="F54" s="7"/>
      <c r="G54" s="7"/>
    </row>
    <row r="55" spans="1:7" ht="34.5" customHeight="1" x14ac:dyDescent="0.25">
      <c r="A55" s="36" t="s">
        <v>86</v>
      </c>
      <c r="B55" s="13"/>
      <c r="C55" s="27">
        <f ca="1">ROUND((C54-0.7*D53)/C38,2)</f>
        <v>6.22</v>
      </c>
      <c r="D55" s="27"/>
      <c r="E55" s="27" t="s">
        <v>116</v>
      </c>
      <c r="F55" s="7"/>
      <c r="G55" s="7"/>
    </row>
    <row r="56" spans="1:7" ht="18" customHeight="1" x14ac:dyDescent="0.2">
      <c r="A56" s="93" t="s">
        <v>88</v>
      </c>
      <c r="B56" s="91"/>
      <c r="C56" s="91"/>
      <c r="D56" s="91"/>
      <c r="E56" s="17"/>
      <c r="F56" s="17"/>
      <c r="G56" s="18"/>
    </row>
    <row r="57" spans="1:7" ht="33.75" customHeight="1" x14ac:dyDescent="0.2">
      <c r="A57" s="35" t="s">
        <v>95</v>
      </c>
      <c r="B57" s="27"/>
      <c r="C57" s="27">
        <f>ROUND(C30/(C3*C4*0.8),0)</f>
        <v>294</v>
      </c>
      <c r="D57" s="27" t="s">
        <v>10</v>
      </c>
      <c r="E57" s="27" t="s">
        <v>90</v>
      </c>
      <c r="F57" s="7"/>
      <c r="G57" s="7"/>
    </row>
    <row r="58" spans="1:7" ht="33.75" customHeight="1" x14ac:dyDescent="0.2">
      <c r="A58" s="35" t="s">
        <v>117</v>
      </c>
      <c r="B58" s="27"/>
      <c r="C58" s="27">
        <f>ROUND(C30/C3,0)</f>
        <v>470</v>
      </c>
      <c r="D58" s="27"/>
      <c r="E58" s="27" t="s">
        <v>133</v>
      </c>
      <c r="F58" s="7"/>
      <c r="G58" s="7"/>
    </row>
    <row r="59" spans="1:7" ht="50.25" customHeight="1" x14ac:dyDescent="0.2">
      <c r="A59" s="34" t="s">
        <v>91</v>
      </c>
      <c r="B59" s="27" t="s">
        <v>92</v>
      </c>
      <c r="C59" s="27">
        <f>C58+1.8*C21+100</f>
        <v>624</v>
      </c>
      <c r="D59" s="27" t="s">
        <v>10</v>
      </c>
      <c r="E59" s="27" t="s">
        <v>134</v>
      </c>
      <c r="F59" s="7"/>
      <c r="G59" s="7"/>
    </row>
    <row r="60" spans="1:7" ht="18" customHeight="1" x14ac:dyDescent="0.2">
      <c r="A60" s="34" t="s">
        <v>93</v>
      </c>
      <c r="B60" s="27" t="s">
        <v>94</v>
      </c>
      <c r="C60" s="27">
        <v>600</v>
      </c>
      <c r="D60" s="27" t="s">
        <v>10</v>
      </c>
      <c r="E60" s="27"/>
      <c r="F60" s="7"/>
      <c r="G60" s="7"/>
    </row>
    <row r="61" spans="1:7" ht="41.25" customHeight="1" x14ac:dyDescent="0.2">
      <c r="A61" s="34" t="s">
        <v>96</v>
      </c>
      <c r="B61" s="27"/>
      <c r="C61" s="27">
        <f ca="1">ROUND(POWER(32*C30/(PI()*C63),0.3333),0)</f>
        <v>19</v>
      </c>
      <c r="D61" s="27" t="s">
        <v>10</v>
      </c>
      <c r="E61" s="27" t="s">
        <v>135</v>
      </c>
      <c r="F61" s="7"/>
      <c r="G61" s="7"/>
    </row>
    <row r="62" spans="1:7" ht="41.25" customHeight="1" x14ac:dyDescent="0.2">
      <c r="B62" s="34" t="s">
        <v>73</v>
      </c>
      <c r="C62" s="27">
        <v>20</v>
      </c>
      <c r="D62" s="27" t="s">
        <v>10</v>
      </c>
      <c r="E62" s="27"/>
      <c r="F62" s="7"/>
      <c r="G62" s="7"/>
    </row>
    <row r="63" spans="1:7" ht="33.75" customHeight="1" x14ac:dyDescent="0.2">
      <c r="A63" s="34" t="s">
        <v>97</v>
      </c>
      <c r="B63" s="27"/>
      <c r="C63" s="27">
        <f ca="1">LOOKUP(materijal!B4,materijal!B4:B7,materijal!B5:D5)/C10</f>
        <v>100</v>
      </c>
      <c r="D63" s="27"/>
      <c r="E63" s="27" t="s">
        <v>99</v>
      </c>
      <c r="F63" s="7"/>
      <c r="G63" s="7"/>
    </row>
    <row r="64" spans="1:7" ht="41.25" customHeight="1" x14ac:dyDescent="0.2">
      <c r="A64" s="84" t="s">
        <v>100</v>
      </c>
      <c r="B64" s="85"/>
      <c r="C64" s="85"/>
      <c r="D64" s="85"/>
      <c r="E64" s="43"/>
      <c r="F64" s="43"/>
      <c r="G64" s="43"/>
    </row>
    <row r="65" spans="1:7" ht="27.75" customHeight="1" x14ac:dyDescent="0.2">
      <c r="A65" s="48" t="s">
        <v>124</v>
      </c>
      <c r="B65" s="48" t="s">
        <v>73</v>
      </c>
      <c r="C65" s="48"/>
      <c r="D65" s="48"/>
      <c r="E65" s="43"/>
      <c r="F65" s="43"/>
      <c r="G65" s="43"/>
    </row>
    <row r="66" spans="1:7" ht="24.95" customHeight="1" x14ac:dyDescent="0.25">
      <c r="A66" s="36" t="s">
        <v>125</v>
      </c>
      <c r="B66" s="27" t="s">
        <v>126</v>
      </c>
      <c r="C66" s="27">
        <v>30.5</v>
      </c>
      <c r="D66" s="27" t="s">
        <v>1</v>
      </c>
    </row>
    <row r="67" spans="1:7" ht="24.95" customHeight="1" x14ac:dyDescent="0.25">
      <c r="A67" s="36" t="s">
        <v>128</v>
      </c>
      <c r="B67" s="27" t="s">
        <v>127</v>
      </c>
      <c r="C67" s="27">
        <v>40</v>
      </c>
      <c r="D67" s="27" t="s">
        <v>10</v>
      </c>
    </row>
    <row r="68" spans="1:7" ht="24.95" customHeight="1" x14ac:dyDescent="0.2"/>
    <row r="69" spans="1:7" ht="24.95" customHeight="1" x14ac:dyDescent="0.2"/>
    <row r="70" spans="1:7" ht="24.95" customHeight="1" x14ac:dyDescent="0.2"/>
  </sheetData>
  <mergeCells count="7">
    <mergeCell ref="A64:D64"/>
    <mergeCell ref="A20:D20"/>
    <mergeCell ref="A1:D1"/>
    <mergeCell ref="A13:D13"/>
    <mergeCell ref="A14:D14"/>
    <mergeCell ref="A29:D29"/>
    <mergeCell ref="A56:D56"/>
  </mergeCells>
  <phoneticPr fontId="3" type="noConversion"/>
  <printOptions horizontalCentered="1" verticalCentered="1"/>
  <pageMargins left="0.15748031496062992" right="0.15748031496062992" top="0.78740157480314965" bottom="0.78740157480314965" header="0.51181102362204722" footer="0.51181102362204722"/>
  <pageSetup paperSize="9" pageOrder="overThenDown" orientation="landscape" r:id="rId1"/>
  <headerFooter alignWithMargins="0">
    <oddHeader>&amp;LJU SŠC "Đuro Damjanović" Novi Grad&amp;RProračun ručne dizalice</oddHeader>
    <oddFooter>&amp;L&amp;D&amp;CMilenko Soldat&amp;R&amp;P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1</xdr:col>
                <xdr:colOff>847725</xdr:colOff>
                <xdr:row>8</xdr:row>
                <xdr:rowOff>66675</xdr:rowOff>
              </from>
              <to>
                <xdr:col>1</xdr:col>
                <xdr:colOff>1000125</xdr:colOff>
                <xdr:row>8</xdr:row>
                <xdr:rowOff>228600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9" r:id="rId6">
          <objectPr defaultSize="0" autoPict="0" r:id="rId7">
            <anchor moveWithCells="1">
              <from>
                <xdr:col>1</xdr:col>
                <xdr:colOff>790575</xdr:colOff>
                <xdr:row>16</xdr:row>
                <xdr:rowOff>66675</xdr:rowOff>
              </from>
              <to>
                <xdr:col>1</xdr:col>
                <xdr:colOff>942975</xdr:colOff>
                <xdr:row>17</xdr:row>
                <xdr:rowOff>28575</xdr:rowOff>
              </to>
            </anchor>
          </objectPr>
        </oleObject>
      </mc:Choice>
      <mc:Fallback>
        <oleObject progId="Equation.3" shapeId="1029" r:id="rId6"/>
      </mc:Fallback>
    </mc:AlternateContent>
    <mc:AlternateContent xmlns:mc="http://schemas.openxmlformats.org/markup-compatibility/2006">
      <mc:Choice Requires="x14">
        <oleObject progId="Equation.3" shapeId="1030" r:id="rId8">
          <objectPr defaultSize="0" autoPict="0" r:id="rId9">
            <anchor moveWithCells="1">
              <from>
                <xdr:col>1</xdr:col>
                <xdr:colOff>190500</xdr:colOff>
                <xdr:row>17</xdr:row>
                <xdr:rowOff>47625</xdr:rowOff>
              </from>
              <to>
                <xdr:col>1</xdr:col>
                <xdr:colOff>1714500</xdr:colOff>
                <xdr:row>18</xdr:row>
                <xdr:rowOff>9525</xdr:rowOff>
              </to>
            </anchor>
          </objectPr>
        </oleObject>
      </mc:Choice>
      <mc:Fallback>
        <oleObject progId="Equation.3" shapeId="1030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>
              <from>
                <xdr:col>1</xdr:col>
                <xdr:colOff>428625</xdr:colOff>
                <xdr:row>14</xdr:row>
                <xdr:rowOff>57150</xdr:rowOff>
              </from>
              <to>
                <xdr:col>1</xdr:col>
                <xdr:colOff>1143000</xdr:colOff>
                <xdr:row>15</xdr:row>
                <xdr:rowOff>38100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1</xdr:col>
                <xdr:colOff>238125</xdr:colOff>
                <xdr:row>30</xdr:row>
                <xdr:rowOff>76200</xdr:rowOff>
              </from>
              <to>
                <xdr:col>1</xdr:col>
                <xdr:colOff>1314450</xdr:colOff>
                <xdr:row>30</xdr:row>
                <xdr:rowOff>466725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1</xdr:col>
                <xdr:colOff>495300</xdr:colOff>
                <xdr:row>36</xdr:row>
                <xdr:rowOff>66675</xdr:rowOff>
              </from>
              <to>
                <xdr:col>1</xdr:col>
                <xdr:colOff>1247775</xdr:colOff>
                <xdr:row>36</xdr:row>
                <xdr:rowOff>504825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5" r:id="rId16">
          <objectPr defaultSize="0" autoPict="0" r:id="rId17">
            <anchor moveWithCells="1">
              <from>
                <xdr:col>1</xdr:col>
                <xdr:colOff>600075</xdr:colOff>
                <xdr:row>37</xdr:row>
                <xdr:rowOff>123825</xdr:rowOff>
              </from>
              <to>
                <xdr:col>1</xdr:col>
                <xdr:colOff>1181100</xdr:colOff>
                <xdr:row>37</xdr:row>
                <xdr:rowOff>552450</xdr:rowOff>
              </to>
            </anchor>
          </objectPr>
        </oleObject>
      </mc:Choice>
      <mc:Fallback>
        <oleObject progId="Equation.3" shapeId="1045" r:id="rId16"/>
      </mc:Fallback>
    </mc:AlternateContent>
    <mc:AlternateContent xmlns:mc="http://schemas.openxmlformats.org/markup-compatibility/2006">
      <mc:Choice Requires="x14">
        <oleObject progId="Equation.3" shapeId="1053" r:id="rId18">
          <objectPr defaultSize="0" autoPict="0" r:id="rId19">
            <anchor moveWithCells="1">
              <from>
                <xdr:col>1</xdr:col>
                <xdr:colOff>714375</xdr:colOff>
                <xdr:row>39</xdr:row>
                <xdr:rowOff>47625</xdr:rowOff>
              </from>
              <to>
                <xdr:col>1</xdr:col>
                <xdr:colOff>1019175</xdr:colOff>
                <xdr:row>39</xdr:row>
                <xdr:rowOff>276225</xdr:rowOff>
              </to>
            </anchor>
          </objectPr>
        </oleObject>
      </mc:Choice>
      <mc:Fallback>
        <oleObject progId="Equation.3" shapeId="1053" r:id="rId18"/>
      </mc:Fallback>
    </mc:AlternateContent>
    <mc:AlternateContent xmlns:mc="http://schemas.openxmlformats.org/markup-compatibility/2006">
      <mc:Choice Requires="x14">
        <oleObject progId="Equation.3" shapeId="1055" r:id="rId20">
          <objectPr defaultSize="0" autoPict="0" r:id="rId21">
            <anchor moveWithCells="1">
              <from>
                <xdr:col>1</xdr:col>
                <xdr:colOff>238125</xdr:colOff>
                <xdr:row>38</xdr:row>
                <xdr:rowOff>76200</xdr:rowOff>
              </from>
              <to>
                <xdr:col>1</xdr:col>
                <xdr:colOff>1733550</xdr:colOff>
                <xdr:row>38</xdr:row>
                <xdr:rowOff>847725</xdr:rowOff>
              </to>
            </anchor>
          </objectPr>
        </oleObject>
      </mc:Choice>
      <mc:Fallback>
        <oleObject progId="Equation.3" shapeId="1055" r:id="rId20"/>
      </mc:Fallback>
    </mc:AlternateContent>
    <mc:AlternateContent xmlns:mc="http://schemas.openxmlformats.org/markup-compatibility/2006">
      <mc:Choice Requires="x14">
        <oleObject progId="Equation.3" shapeId="1056" r:id="rId22">
          <objectPr defaultSize="0" autoPict="0" r:id="rId23">
            <anchor moveWithCells="1">
              <from>
                <xdr:col>1</xdr:col>
                <xdr:colOff>571500</xdr:colOff>
                <xdr:row>40</xdr:row>
                <xdr:rowOff>76200</xdr:rowOff>
              </from>
              <to>
                <xdr:col>1</xdr:col>
                <xdr:colOff>1104900</xdr:colOff>
                <xdr:row>41</xdr:row>
                <xdr:rowOff>0</xdr:rowOff>
              </to>
            </anchor>
          </objectPr>
        </oleObject>
      </mc:Choice>
      <mc:Fallback>
        <oleObject progId="Equation.3" shapeId="1056" r:id="rId22"/>
      </mc:Fallback>
    </mc:AlternateContent>
    <mc:AlternateContent xmlns:mc="http://schemas.openxmlformats.org/markup-compatibility/2006">
      <mc:Choice Requires="x14">
        <oleObject progId="Equation.3" shapeId="1057" r:id="rId24">
          <objectPr defaultSize="0" autoPict="0" r:id="rId25">
            <anchor moveWithCells="1">
              <from>
                <xdr:col>1</xdr:col>
                <xdr:colOff>180975</xdr:colOff>
                <xdr:row>43</xdr:row>
                <xdr:rowOff>76200</xdr:rowOff>
              </from>
              <to>
                <xdr:col>1</xdr:col>
                <xdr:colOff>1714500</xdr:colOff>
                <xdr:row>44</xdr:row>
                <xdr:rowOff>9525</xdr:rowOff>
              </to>
            </anchor>
          </objectPr>
        </oleObject>
      </mc:Choice>
      <mc:Fallback>
        <oleObject progId="Equation.3" shapeId="1057" r:id="rId2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0"/>
  <sheetViews>
    <sheetView topLeftCell="A62" zoomScale="86" zoomScaleNormal="86" workbookViewId="0">
      <selection activeCell="A62" sqref="A62:D62"/>
    </sheetView>
  </sheetViews>
  <sheetFormatPr defaultRowHeight="15" x14ac:dyDescent="0.2"/>
  <cols>
    <col min="1" max="1" width="42.7109375" style="40" customWidth="1"/>
    <col min="2" max="2" width="34.42578125" customWidth="1"/>
    <col min="3" max="3" width="36.7109375" customWidth="1"/>
    <col min="4" max="4" width="12" customWidth="1"/>
  </cols>
  <sheetData>
    <row r="1" spans="1:8" ht="25.5" customHeight="1" x14ac:dyDescent="0.25">
      <c r="A1" s="88" t="s">
        <v>115</v>
      </c>
      <c r="B1" s="89"/>
      <c r="C1" s="89"/>
      <c r="D1" s="97"/>
      <c r="E1" s="67"/>
      <c r="F1" s="59"/>
    </row>
    <row r="2" spans="1:8" ht="25.5" customHeight="1" x14ac:dyDescent="0.2">
      <c r="A2" s="76" t="s">
        <v>0</v>
      </c>
      <c r="B2" s="27" t="s">
        <v>106</v>
      </c>
      <c r="C2" s="27">
        <v>20000</v>
      </c>
      <c r="D2" s="49" t="s">
        <v>1</v>
      </c>
      <c r="E2" s="68"/>
      <c r="F2" s="60"/>
    </row>
    <row r="3" spans="1:8" ht="22.5" customHeight="1" x14ac:dyDescent="0.2">
      <c r="A3" s="76" t="s">
        <v>63</v>
      </c>
      <c r="B3" s="27" t="s">
        <v>109</v>
      </c>
      <c r="C3" s="27">
        <v>150</v>
      </c>
      <c r="D3" s="49" t="s">
        <v>1</v>
      </c>
      <c r="E3" s="68"/>
      <c r="F3" s="60"/>
    </row>
    <row r="4" spans="1:8" ht="22.5" customHeight="1" x14ac:dyDescent="0.2">
      <c r="A4" s="76" t="s">
        <v>2</v>
      </c>
      <c r="B4" s="27" t="s">
        <v>3</v>
      </c>
      <c r="C4" s="27">
        <v>2</v>
      </c>
      <c r="D4" s="50"/>
      <c r="E4" s="68"/>
      <c r="F4" s="60"/>
    </row>
    <row r="5" spans="1:8" ht="22.5" customHeight="1" x14ac:dyDescent="0.2">
      <c r="A5" s="76" t="s">
        <v>62</v>
      </c>
      <c r="B5" s="28"/>
      <c r="C5" s="27" t="s">
        <v>4</v>
      </c>
      <c r="D5" s="50"/>
      <c r="E5" s="68"/>
      <c r="F5" s="60"/>
    </row>
    <row r="6" spans="1:8" ht="18.75" customHeight="1" x14ac:dyDescent="0.2">
      <c r="A6" s="76" t="s">
        <v>5</v>
      </c>
      <c r="B6" s="28"/>
      <c r="C6" s="42" t="s">
        <v>6</v>
      </c>
      <c r="D6" s="50"/>
      <c r="E6" s="68"/>
      <c r="F6" s="60"/>
    </row>
    <row r="7" spans="1:8" ht="18.75" customHeight="1" x14ac:dyDescent="0.2">
      <c r="A7" s="76" t="s">
        <v>7</v>
      </c>
      <c r="B7" s="28"/>
      <c r="C7" s="27" t="s">
        <v>8</v>
      </c>
      <c r="D7" s="50"/>
      <c r="E7" s="68"/>
      <c r="F7" s="60"/>
    </row>
    <row r="8" spans="1:8" ht="18.75" customHeight="1" x14ac:dyDescent="0.35">
      <c r="A8" s="76" t="s">
        <v>9</v>
      </c>
      <c r="B8" s="27" t="s">
        <v>107</v>
      </c>
      <c r="C8" s="27">
        <v>150</v>
      </c>
      <c r="D8" s="49" t="s">
        <v>10</v>
      </c>
      <c r="E8" s="68"/>
      <c r="F8" s="60"/>
      <c r="H8" s="3"/>
    </row>
    <row r="9" spans="1:8" ht="18.75" customHeight="1" x14ac:dyDescent="0.2">
      <c r="A9" s="76" t="s">
        <v>11</v>
      </c>
      <c r="B9" s="27"/>
      <c r="C9" s="27">
        <v>0.08</v>
      </c>
      <c r="D9" s="50"/>
      <c r="E9" s="68"/>
      <c r="F9" s="60"/>
    </row>
    <row r="10" spans="1:8" ht="18.75" customHeight="1" x14ac:dyDescent="0.2">
      <c r="A10" s="76" t="s">
        <v>12</v>
      </c>
      <c r="B10" s="27" t="s">
        <v>13</v>
      </c>
      <c r="C10" s="27">
        <v>3</v>
      </c>
      <c r="D10" s="50"/>
      <c r="E10" s="68"/>
      <c r="F10" s="60"/>
    </row>
    <row r="11" spans="1:8" ht="18" x14ac:dyDescent="0.25">
      <c r="A11" s="77" t="s">
        <v>72</v>
      </c>
      <c r="B11" s="13"/>
      <c r="C11" s="27" t="s">
        <v>71</v>
      </c>
      <c r="D11" s="50"/>
      <c r="E11" s="68"/>
      <c r="F11" s="60"/>
    </row>
    <row r="12" spans="1:8" ht="21" x14ac:dyDescent="0.2">
      <c r="A12" s="38"/>
      <c r="B12" s="16"/>
      <c r="C12" s="44"/>
      <c r="D12" s="51"/>
      <c r="E12" s="69"/>
      <c r="F12" s="61"/>
    </row>
    <row r="13" spans="1:8" ht="26.25" customHeight="1" x14ac:dyDescent="0.2">
      <c r="A13" s="90" t="s">
        <v>14</v>
      </c>
      <c r="B13" s="91"/>
      <c r="C13" s="91"/>
      <c r="D13" s="94"/>
      <c r="E13" s="70"/>
      <c r="F13" s="25"/>
    </row>
    <row r="14" spans="1:8" ht="22.5" customHeight="1" x14ac:dyDescent="0.25">
      <c r="A14" s="92" t="s">
        <v>15</v>
      </c>
      <c r="B14" s="87"/>
      <c r="C14" s="87"/>
      <c r="D14" s="98"/>
      <c r="E14" s="71"/>
      <c r="F14" s="62"/>
    </row>
    <row r="15" spans="1:8" ht="33.75" customHeight="1" x14ac:dyDescent="0.2">
      <c r="A15" s="78" t="s">
        <v>19</v>
      </c>
      <c r="B15" s="47"/>
      <c r="C15" s="27">
        <f ca="1">ROUND((C16/C10),2)</f>
        <v>80</v>
      </c>
      <c r="D15" s="52"/>
      <c r="E15" s="72"/>
      <c r="F15" s="60"/>
    </row>
    <row r="16" spans="1:8" ht="22.5" customHeight="1" x14ac:dyDescent="0.25">
      <c r="A16" s="78" t="s">
        <v>16</v>
      </c>
      <c r="B16" s="10" t="s">
        <v>61</v>
      </c>
      <c r="C16" s="42">
        <f ca="1">LOOKUP(materijal!C4,materijal!A5:D5,materijal!C5:C7)</f>
        <v>240</v>
      </c>
      <c r="D16" s="52"/>
      <c r="E16" s="68"/>
      <c r="F16" s="60"/>
    </row>
    <row r="17" spans="1:6" ht="20.25" customHeight="1" x14ac:dyDescent="0.2">
      <c r="A17" s="78" t="s">
        <v>17</v>
      </c>
      <c r="B17" s="7"/>
      <c r="C17" s="27">
        <v>0.8</v>
      </c>
      <c r="D17" s="52"/>
      <c r="E17" s="68"/>
      <c r="F17" s="60"/>
    </row>
    <row r="18" spans="1:6" ht="51.75" customHeight="1" x14ac:dyDescent="0.25">
      <c r="A18" s="78" t="s">
        <v>18</v>
      </c>
      <c r="B18" s="5"/>
      <c r="C18" s="27">
        <f ca="1">ROUND(((1.25*C2)/(C15*C17)),0)</f>
        <v>391</v>
      </c>
      <c r="D18" s="52"/>
      <c r="E18" s="68"/>
      <c r="F18" s="60"/>
    </row>
    <row r="19" spans="1:6" x14ac:dyDescent="0.2">
      <c r="A19" s="39"/>
      <c r="B19" s="7"/>
      <c r="C19" s="11"/>
      <c r="D19" s="52"/>
      <c r="E19" s="68"/>
      <c r="F19" s="60"/>
    </row>
    <row r="20" spans="1:6" ht="24.75" customHeight="1" x14ac:dyDescent="0.2">
      <c r="A20" s="86" t="s">
        <v>118</v>
      </c>
      <c r="B20" s="87"/>
      <c r="C20" s="87"/>
      <c r="D20" s="98"/>
      <c r="E20" s="73"/>
      <c r="F20" s="63"/>
    </row>
    <row r="21" spans="1:6" ht="18.75" customHeight="1" x14ac:dyDescent="0.2">
      <c r="A21" s="78" t="s">
        <v>20</v>
      </c>
      <c r="B21" s="27" t="s">
        <v>21</v>
      </c>
      <c r="C21" s="27">
        <v>30</v>
      </c>
      <c r="D21" s="53" t="s">
        <v>10</v>
      </c>
      <c r="E21" s="68"/>
      <c r="F21" s="60"/>
    </row>
    <row r="22" spans="1:6" ht="18.75" customHeight="1" x14ac:dyDescent="0.2">
      <c r="A22" s="78" t="s">
        <v>22</v>
      </c>
      <c r="B22" s="27" t="s">
        <v>23</v>
      </c>
      <c r="C22" s="27">
        <v>6</v>
      </c>
      <c r="D22" s="53" t="s">
        <v>10</v>
      </c>
      <c r="E22" s="68"/>
      <c r="F22" s="60"/>
    </row>
    <row r="23" spans="1:6" ht="18.75" customHeight="1" x14ac:dyDescent="0.2">
      <c r="A23" s="78" t="s">
        <v>24</v>
      </c>
      <c r="B23" s="27" t="s">
        <v>120</v>
      </c>
      <c r="C23" s="27">
        <v>27</v>
      </c>
      <c r="D23" s="53" t="s">
        <v>10</v>
      </c>
      <c r="E23" s="68"/>
      <c r="F23" s="60"/>
    </row>
    <row r="24" spans="1:6" ht="19.5" customHeight="1" x14ac:dyDescent="0.2">
      <c r="A24" s="78" t="s">
        <v>25</v>
      </c>
      <c r="B24" s="27" t="s">
        <v>121</v>
      </c>
      <c r="C24" s="27">
        <v>23</v>
      </c>
      <c r="D24" s="53" t="s">
        <v>10</v>
      </c>
      <c r="E24" s="68"/>
      <c r="F24" s="60"/>
    </row>
    <row r="25" spans="1:6" ht="20.25" customHeight="1" x14ac:dyDescent="0.2">
      <c r="A25" s="78" t="s">
        <v>26</v>
      </c>
      <c r="B25" s="27" t="s">
        <v>122</v>
      </c>
      <c r="C25" s="27">
        <v>2.5</v>
      </c>
      <c r="D25" s="53" t="s">
        <v>10</v>
      </c>
      <c r="E25" s="68"/>
      <c r="F25" s="60"/>
    </row>
    <row r="26" spans="1:6" ht="24.75" customHeight="1" x14ac:dyDescent="0.5">
      <c r="A26" s="78" t="s">
        <v>27</v>
      </c>
      <c r="B26" s="41"/>
      <c r="C26" s="27">
        <v>4.0599999999999996</v>
      </c>
      <c r="D26" s="54" t="s">
        <v>28</v>
      </c>
      <c r="E26" s="68"/>
      <c r="F26" s="60"/>
    </row>
    <row r="27" spans="1:6" ht="22.5" customHeight="1" x14ac:dyDescent="0.2">
      <c r="A27" s="78" t="s">
        <v>27</v>
      </c>
      <c r="B27" s="41"/>
      <c r="C27" s="27">
        <f>RADIANS(C26)</f>
        <v>7.086036763096977E-2</v>
      </c>
      <c r="D27" s="53" t="s">
        <v>33</v>
      </c>
      <c r="E27" s="68"/>
      <c r="F27" s="60"/>
    </row>
    <row r="28" spans="1:6" ht="21.75" customHeight="1" x14ac:dyDescent="0.2">
      <c r="A28" s="78" t="s">
        <v>44</v>
      </c>
      <c r="B28" s="27" t="s">
        <v>123</v>
      </c>
      <c r="C28" s="27">
        <v>415</v>
      </c>
      <c r="D28" s="52"/>
      <c r="E28" s="68"/>
      <c r="F28" s="60"/>
    </row>
    <row r="29" spans="1:6" ht="26.25" customHeight="1" x14ac:dyDescent="0.2">
      <c r="A29" s="93" t="s">
        <v>29</v>
      </c>
      <c r="B29" s="91"/>
      <c r="C29" s="91"/>
      <c r="D29" s="94"/>
      <c r="E29" s="74"/>
      <c r="F29" s="64"/>
    </row>
    <row r="30" spans="1:6" ht="39.75" customHeight="1" x14ac:dyDescent="0.2">
      <c r="A30" s="78" t="s">
        <v>110</v>
      </c>
      <c r="B30" s="27" t="s">
        <v>82</v>
      </c>
      <c r="C30" s="27">
        <f>ROUND(((C2*TAN(C27+C34)*0.5*C23)+(C2*C9*C36)),0)</f>
        <v>70571</v>
      </c>
      <c r="D30" s="55" t="s">
        <v>30</v>
      </c>
      <c r="E30" s="68"/>
      <c r="F30" s="60"/>
    </row>
    <row r="31" spans="1:6" ht="36" customHeight="1" x14ac:dyDescent="0.2">
      <c r="A31" s="78" t="s">
        <v>64</v>
      </c>
      <c r="B31" s="27"/>
      <c r="C31" s="27">
        <f>ROUND(((C9/COS((C33/2)))),5)</f>
        <v>8.2820000000000005E-2</v>
      </c>
      <c r="D31" s="56"/>
      <c r="E31" s="68"/>
      <c r="F31" s="60"/>
    </row>
    <row r="32" spans="1:6" ht="18.75" customHeight="1" x14ac:dyDescent="0.2">
      <c r="A32" s="78" t="s">
        <v>31</v>
      </c>
      <c r="B32" s="41" t="s">
        <v>32</v>
      </c>
      <c r="C32" s="27">
        <v>30</v>
      </c>
      <c r="D32" s="57" t="s">
        <v>28</v>
      </c>
      <c r="E32" s="68"/>
      <c r="F32" s="60"/>
    </row>
    <row r="33" spans="1:6" ht="17.25" customHeight="1" x14ac:dyDescent="0.2">
      <c r="A33" s="78" t="s">
        <v>31</v>
      </c>
      <c r="B33" s="41" t="s">
        <v>32</v>
      </c>
      <c r="C33" s="27">
        <f>RADIANS((C32))</f>
        <v>0.52359877559829882</v>
      </c>
      <c r="D33" s="55" t="s">
        <v>33</v>
      </c>
      <c r="E33" s="68"/>
      <c r="F33" s="60"/>
    </row>
    <row r="34" spans="1:6" ht="22.5" customHeight="1" x14ac:dyDescent="0.2">
      <c r="A34" s="78" t="s">
        <v>34</v>
      </c>
      <c r="B34" s="41" t="s">
        <v>35</v>
      </c>
      <c r="C34" s="27">
        <f>ATAN(C31)</f>
        <v>8.2631417170824326E-2</v>
      </c>
      <c r="D34" s="55" t="s">
        <v>33</v>
      </c>
      <c r="E34" s="68"/>
      <c r="F34" s="60"/>
    </row>
    <row r="35" spans="1:6" ht="18.75" customHeight="1" x14ac:dyDescent="0.2">
      <c r="A35" s="76" t="s">
        <v>34</v>
      </c>
      <c r="B35" s="41" t="s">
        <v>35</v>
      </c>
      <c r="C35" s="27">
        <f>ROUND(DEGREES(C34),3)</f>
        <v>4.734</v>
      </c>
      <c r="D35" s="58" t="s">
        <v>28</v>
      </c>
      <c r="E35" s="68"/>
      <c r="F35" s="60"/>
    </row>
    <row r="36" spans="1:6" ht="45" customHeight="1" x14ac:dyDescent="0.2">
      <c r="A36" s="78" t="s">
        <v>119</v>
      </c>
      <c r="B36" s="27" t="s">
        <v>111</v>
      </c>
      <c r="C36" s="27">
        <f>ROUND(0.6*C21,2)</f>
        <v>18</v>
      </c>
      <c r="D36" s="55" t="s">
        <v>10</v>
      </c>
      <c r="E36" s="68"/>
      <c r="F36" s="60"/>
    </row>
    <row r="37" spans="1:6" ht="40.5" customHeight="1" x14ac:dyDescent="0.2">
      <c r="A37" s="79" t="s">
        <v>43</v>
      </c>
      <c r="B37" s="13"/>
      <c r="C37" s="27">
        <f>ROUND((((16*C30)/(PI()*(C24*C24*C24)))),1)</f>
        <v>29.5</v>
      </c>
      <c r="D37" s="56"/>
      <c r="E37" s="68"/>
      <c r="F37" s="60"/>
    </row>
    <row r="38" spans="1:6" ht="42" customHeight="1" x14ac:dyDescent="0.2">
      <c r="A38" s="78" t="s">
        <v>46</v>
      </c>
      <c r="B38" s="13"/>
      <c r="C38" s="27">
        <f>ROUND(((C2)/(C28)),1)</f>
        <v>48.2</v>
      </c>
      <c r="D38" s="56"/>
      <c r="E38" s="68"/>
      <c r="F38" s="60"/>
    </row>
    <row r="39" spans="1:6" ht="67.5" customHeight="1" x14ac:dyDescent="0.2">
      <c r="A39" s="78" t="s">
        <v>48</v>
      </c>
      <c r="B39" s="13"/>
      <c r="C39" s="27">
        <f ca="1">ROUND((((C38^2)+((C16/C40)*C37)^2)^0.5),2)</f>
        <v>67.459999999999994</v>
      </c>
      <c r="D39" s="56"/>
      <c r="E39" s="73"/>
      <c r="F39" s="65"/>
    </row>
    <row r="40" spans="1:6" ht="33" customHeight="1" x14ac:dyDescent="0.2">
      <c r="A40" s="78" t="s">
        <v>89</v>
      </c>
      <c r="B40" s="13"/>
      <c r="C40" s="27">
        <v>150</v>
      </c>
      <c r="D40" s="56"/>
      <c r="E40" s="73"/>
      <c r="F40" s="65"/>
    </row>
    <row r="41" spans="1:6" ht="41.25" customHeight="1" x14ac:dyDescent="0.2">
      <c r="A41" s="78" t="s">
        <v>83</v>
      </c>
      <c r="B41" s="13"/>
      <c r="C41" s="27">
        <f ca="1">ROUND((C16/C39),2)</f>
        <v>3.56</v>
      </c>
      <c r="D41" s="50"/>
      <c r="E41" s="68"/>
      <c r="F41" s="60"/>
    </row>
    <row r="42" spans="1:6" ht="18" x14ac:dyDescent="0.2">
      <c r="A42" s="78"/>
      <c r="B42" s="13"/>
      <c r="C42" s="28"/>
      <c r="D42" s="50"/>
      <c r="E42" s="68"/>
      <c r="F42" s="60"/>
    </row>
    <row r="43" spans="1:6" ht="37.5" customHeight="1" x14ac:dyDescent="0.2">
      <c r="A43" s="78" t="s">
        <v>68</v>
      </c>
      <c r="B43" s="31" t="str">
        <f ca="1">IF(C41:C41&gt;=C10,"ZADOVOLJAVA","NEZADOVOLJAVA")</f>
        <v>ZADOVOLJAVA</v>
      </c>
      <c r="C43" s="32" t="s">
        <v>65</v>
      </c>
      <c r="D43" s="49"/>
      <c r="E43" s="68"/>
      <c r="F43" s="60"/>
    </row>
    <row r="44" spans="1:6" ht="39" customHeight="1" x14ac:dyDescent="0.2">
      <c r="A44" s="78" t="s">
        <v>81</v>
      </c>
      <c r="B44" s="13"/>
      <c r="C44" s="27">
        <f>ROUND(((C2*C22)/(C46*C23*PI()*C25)),2)</f>
        <v>13.47</v>
      </c>
      <c r="D44" s="50"/>
      <c r="E44" s="68"/>
      <c r="F44" s="60"/>
    </row>
    <row r="45" spans="1:6" ht="21" customHeight="1" x14ac:dyDescent="0.2">
      <c r="A45" s="78" t="s">
        <v>51</v>
      </c>
      <c r="B45" s="26" t="s">
        <v>112</v>
      </c>
      <c r="C45" s="27" t="s">
        <v>52</v>
      </c>
      <c r="D45" s="49" t="s">
        <v>10</v>
      </c>
      <c r="E45" s="68"/>
      <c r="F45" s="60"/>
    </row>
    <row r="46" spans="1:6" ht="17.25" customHeight="1" x14ac:dyDescent="0.2">
      <c r="A46" s="78" t="s">
        <v>53</v>
      </c>
      <c r="B46" s="26" t="s">
        <v>113</v>
      </c>
      <c r="C46" s="27">
        <f>ROUND(1.41*C21,0)</f>
        <v>42</v>
      </c>
      <c r="D46" s="49" t="s">
        <v>10</v>
      </c>
      <c r="E46" s="68"/>
      <c r="F46" s="60"/>
    </row>
    <row r="47" spans="1:6" ht="24.75" customHeight="1" x14ac:dyDescent="0.2">
      <c r="A47" s="78" t="s">
        <v>66</v>
      </c>
      <c r="B47" s="31" t="str">
        <f>IF(C44&lt;=15,"ZADOVOLJAVA","NEZADOVOLJAVA")</f>
        <v>ZADOVOLJAVA</v>
      </c>
      <c r="C47" s="32" t="s">
        <v>69</v>
      </c>
      <c r="D47" s="50"/>
      <c r="E47" s="73"/>
      <c r="F47" s="65"/>
    </row>
    <row r="48" spans="1:6" ht="21.75" customHeight="1" x14ac:dyDescent="0.2">
      <c r="A48" s="78" t="s">
        <v>74</v>
      </c>
      <c r="B48" s="27" t="str">
        <f>IF(C35&gt;C26,"ZADOVOLJAVA","NEZADOVOLJAVA")</f>
        <v>ZADOVOLJAVA</v>
      </c>
      <c r="C48" s="27" t="s">
        <v>114</v>
      </c>
      <c r="D48" s="50"/>
      <c r="E48" s="68"/>
      <c r="F48" s="60"/>
    </row>
    <row r="49" spans="1:6" ht="35.25" customHeight="1" x14ac:dyDescent="0.2">
      <c r="A49" s="78" t="s">
        <v>76</v>
      </c>
      <c r="B49" s="27" t="str">
        <f ca="1">IF(C55&gt;4,"ZADOVOLJAVA","NEZADOVOLJAVA")</f>
        <v>ZADOVOLJAVA</v>
      </c>
      <c r="C49" s="27" t="s">
        <v>102</v>
      </c>
      <c r="D49" s="50"/>
      <c r="E49" s="68"/>
      <c r="F49" s="60"/>
    </row>
    <row r="50" spans="1:6" ht="24" customHeight="1" x14ac:dyDescent="0.2">
      <c r="A50" s="76" t="s">
        <v>77</v>
      </c>
      <c r="B50" s="13"/>
      <c r="C50" s="27">
        <f>ROUND(PI()*POWER(C24,4)/64,2)</f>
        <v>13736.66</v>
      </c>
      <c r="D50" s="55"/>
      <c r="E50" s="68"/>
      <c r="F50" s="60"/>
    </row>
    <row r="51" spans="1:6" ht="34.5" customHeight="1" x14ac:dyDescent="0.2">
      <c r="A51" s="76" t="s">
        <v>78</v>
      </c>
      <c r="B51" s="13"/>
      <c r="C51" s="27">
        <f>ROUND(SQRT(C50/C28),2)</f>
        <v>5.75</v>
      </c>
      <c r="D51" s="55" t="s">
        <v>10</v>
      </c>
      <c r="E51" s="68"/>
      <c r="F51" s="60"/>
    </row>
    <row r="52" spans="1:6" ht="18" customHeight="1" x14ac:dyDescent="0.2">
      <c r="A52" s="76" t="s">
        <v>79</v>
      </c>
      <c r="B52" s="27" t="s">
        <v>85</v>
      </c>
      <c r="C52" s="27">
        <f>C8+50</f>
        <v>200</v>
      </c>
      <c r="D52" s="55" t="s">
        <v>10</v>
      </c>
      <c r="E52" s="68"/>
      <c r="F52" s="60"/>
    </row>
    <row r="53" spans="1:6" ht="26.25" customHeight="1" x14ac:dyDescent="0.2">
      <c r="A53" s="76" t="s">
        <v>84</v>
      </c>
      <c r="B53" s="27" t="s">
        <v>101</v>
      </c>
      <c r="C53" s="27">
        <f>ROUND(C52*8/C24,2)</f>
        <v>69.569999999999993</v>
      </c>
      <c r="D53" s="55"/>
      <c r="E53" s="68"/>
      <c r="F53" s="60"/>
    </row>
    <row r="54" spans="1:6" ht="27.75" customHeight="1" x14ac:dyDescent="0.2">
      <c r="A54" s="76" t="s">
        <v>80</v>
      </c>
      <c r="B54" s="13"/>
      <c r="C54" s="27">
        <f ca="1">LOOKUP(materijal!B4,materijal!B4:B7,materijal!B5:D5)</f>
        <v>300</v>
      </c>
      <c r="D54" s="55"/>
      <c r="E54" s="68"/>
      <c r="F54" s="60"/>
    </row>
    <row r="55" spans="1:6" ht="36" customHeight="1" x14ac:dyDescent="0.25">
      <c r="A55" s="77" t="s">
        <v>86</v>
      </c>
      <c r="B55" s="13"/>
      <c r="C55" s="27">
        <f ca="1">ROUND((C54-0.7*D53)/C38,2)</f>
        <v>6.22</v>
      </c>
      <c r="D55" s="55"/>
      <c r="E55" s="68"/>
      <c r="F55" s="60"/>
    </row>
    <row r="56" spans="1:6" ht="18" customHeight="1" x14ac:dyDescent="0.2">
      <c r="A56" s="93" t="s">
        <v>88</v>
      </c>
      <c r="B56" s="91"/>
      <c r="C56" s="91"/>
      <c r="D56" s="94"/>
      <c r="E56" s="75"/>
      <c r="F56" s="66"/>
    </row>
    <row r="57" spans="1:6" ht="33.75" customHeight="1" x14ac:dyDescent="0.2">
      <c r="A57" s="76" t="s">
        <v>95</v>
      </c>
      <c r="B57" s="27"/>
      <c r="C57" s="27">
        <f>ROUND(C30/(C3*C4*0.8),0)</f>
        <v>294</v>
      </c>
      <c r="D57" s="55" t="s">
        <v>10</v>
      </c>
      <c r="E57" s="68"/>
      <c r="F57" s="60"/>
    </row>
    <row r="58" spans="1:6" ht="37.5" customHeight="1" x14ac:dyDescent="0.2">
      <c r="A58" s="76" t="s">
        <v>117</v>
      </c>
      <c r="B58" s="27"/>
      <c r="C58" s="27">
        <f>ROUND(C30/C3,0)</f>
        <v>470</v>
      </c>
      <c r="D58" s="55"/>
      <c r="E58" s="68"/>
      <c r="F58" s="60"/>
    </row>
    <row r="59" spans="1:6" ht="50.25" customHeight="1" x14ac:dyDescent="0.2">
      <c r="A59" s="76" t="s">
        <v>91</v>
      </c>
      <c r="B59" s="27" t="s">
        <v>92</v>
      </c>
      <c r="C59" s="27">
        <f>C58+1.8*C21+100</f>
        <v>624</v>
      </c>
      <c r="D59" s="55" t="s">
        <v>10</v>
      </c>
      <c r="E59" s="68"/>
      <c r="F59" s="60"/>
    </row>
    <row r="60" spans="1:6" ht="18" customHeight="1" x14ac:dyDescent="0.2">
      <c r="A60" s="76" t="s">
        <v>93</v>
      </c>
      <c r="B60" s="27" t="s">
        <v>94</v>
      </c>
      <c r="C60" s="27">
        <v>600</v>
      </c>
      <c r="D60" s="55" t="s">
        <v>10</v>
      </c>
      <c r="E60" s="68"/>
      <c r="F60" s="60"/>
    </row>
    <row r="61" spans="1:6" ht="41.25" customHeight="1" x14ac:dyDescent="0.2">
      <c r="A61" s="76" t="s">
        <v>96</v>
      </c>
      <c r="B61" s="27"/>
      <c r="C61" s="27">
        <f ca="1">ROUND(POWER(32*C30/(PI()*C63),0.3333),0)</f>
        <v>19</v>
      </c>
      <c r="D61" s="55" t="s">
        <v>10</v>
      </c>
      <c r="E61" s="68"/>
      <c r="F61" s="60"/>
    </row>
    <row r="62" spans="1:6" ht="41.25" customHeight="1" x14ac:dyDescent="0.2">
      <c r="A62" s="78"/>
      <c r="B62" s="80" t="s">
        <v>73</v>
      </c>
      <c r="C62" s="27">
        <v>20</v>
      </c>
      <c r="D62" s="27" t="s">
        <v>10</v>
      </c>
      <c r="E62" s="68"/>
      <c r="F62" s="60"/>
    </row>
    <row r="63" spans="1:6" ht="33.75" customHeight="1" x14ac:dyDescent="0.2">
      <c r="A63" s="76" t="s">
        <v>97</v>
      </c>
      <c r="B63" s="27"/>
      <c r="C63" s="27">
        <f ca="1">LOOKUP(materijal!B4,materijal!B4:B7,materijal!B5:D5)/C10</f>
        <v>100</v>
      </c>
      <c r="D63" s="55"/>
      <c r="E63" s="68"/>
      <c r="F63" s="60"/>
    </row>
    <row r="64" spans="1:6" ht="41.25" customHeight="1" x14ac:dyDescent="0.2">
      <c r="A64" s="95" t="s">
        <v>100</v>
      </c>
      <c r="B64" s="96"/>
      <c r="C64" s="96"/>
      <c r="D64" s="96"/>
      <c r="E64" s="81"/>
      <c r="F64" s="81"/>
    </row>
    <row r="65" spans="1:6" ht="27.75" customHeight="1" x14ac:dyDescent="0.2">
      <c r="A65" s="83" t="s">
        <v>124</v>
      </c>
      <c r="B65" s="33" t="s">
        <v>73</v>
      </c>
      <c r="C65" s="48"/>
      <c r="D65" s="48"/>
      <c r="E65" s="43"/>
      <c r="F65" s="43"/>
    </row>
    <row r="66" spans="1:6" ht="24.95" customHeight="1" x14ac:dyDescent="0.25">
      <c r="A66" s="77" t="s">
        <v>125</v>
      </c>
      <c r="B66" s="27" t="s">
        <v>136</v>
      </c>
      <c r="C66" s="27">
        <v>30.5</v>
      </c>
      <c r="D66" s="27" t="s">
        <v>1</v>
      </c>
    </row>
    <row r="67" spans="1:6" ht="24.95" customHeight="1" x14ac:dyDescent="0.25">
      <c r="A67" s="77" t="s">
        <v>128</v>
      </c>
      <c r="B67" s="27" t="s">
        <v>127</v>
      </c>
      <c r="C67" s="27">
        <v>40</v>
      </c>
      <c r="D67" s="27" t="s">
        <v>10</v>
      </c>
    </row>
    <row r="68" spans="1:6" ht="24.95" customHeight="1" x14ac:dyDescent="0.2"/>
    <row r="69" spans="1:6" ht="24.95" customHeight="1" x14ac:dyDescent="0.2"/>
    <row r="70" spans="1:6" ht="24.95" customHeight="1" x14ac:dyDescent="0.2"/>
  </sheetData>
  <mergeCells count="7">
    <mergeCell ref="A56:D56"/>
    <mergeCell ref="A64:D64"/>
    <mergeCell ref="A1:D1"/>
    <mergeCell ref="A13:D13"/>
    <mergeCell ref="A14:D14"/>
    <mergeCell ref="A20:D20"/>
    <mergeCell ref="A29:D29"/>
  </mergeCells>
  <printOptions horizontalCentered="1" verticalCentered="1"/>
  <pageMargins left="0.94488188976377963" right="0.35433070866141736" top="0.78740157480314965" bottom="0.78740157480314965" header="0.51181102362204722" footer="0.51181102362204722"/>
  <pageSetup paperSize="9" orientation="landscape" r:id="rId1"/>
  <headerFooter alignWithMargins="0">
    <oddHeader>&amp;LJU "Đuro Damjanović" Novi Grad&amp;RProračun ručne dizalice</oddHeader>
    <oddFooter>&amp;L&amp;D&amp;CMilenko Soldat&amp;R&amp;P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1</xdr:col>
                <xdr:colOff>1057275</xdr:colOff>
                <xdr:row>8</xdr:row>
                <xdr:rowOff>66675</xdr:rowOff>
              </from>
              <to>
                <xdr:col>1</xdr:col>
                <xdr:colOff>1209675</xdr:colOff>
                <xdr:row>8</xdr:row>
                <xdr:rowOff>228600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>
              <from>
                <xdr:col>1</xdr:col>
                <xdr:colOff>790575</xdr:colOff>
                <xdr:row>16</xdr:row>
                <xdr:rowOff>66675</xdr:rowOff>
              </from>
              <to>
                <xdr:col>1</xdr:col>
                <xdr:colOff>942975</xdr:colOff>
                <xdr:row>17</xdr:row>
                <xdr:rowOff>28575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1</xdr:col>
                <xdr:colOff>190500</xdr:colOff>
                <xdr:row>17</xdr:row>
                <xdr:rowOff>57150</xdr:rowOff>
              </from>
              <to>
                <xdr:col>1</xdr:col>
                <xdr:colOff>1714500</xdr:colOff>
                <xdr:row>18</xdr:row>
                <xdr:rowOff>19050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>
              <from>
                <xdr:col>1</xdr:col>
                <xdr:colOff>428625</xdr:colOff>
                <xdr:row>14</xdr:row>
                <xdr:rowOff>57150</xdr:rowOff>
              </from>
              <to>
                <xdr:col>1</xdr:col>
                <xdr:colOff>1143000</xdr:colOff>
                <xdr:row>15</xdr:row>
                <xdr:rowOff>47625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>
              <from>
                <xdr:col>1</xdr:col>
                <xdr:colOff>238125</xdr:colOff>
                <xdr:row>30</xdr:row>
                <xdr:rowOff>76200</xdr:rowOff>
              </from>
              <to>
                <xdr:col>1</xdr:col>
                <xdr:colOff>1314450</xdr:colOff>
                <xdr:row>31</xdr:row>
                <xdr:rowOff>9525</xdr:rowOff>
              </to>
            </anchor>
          </objectPr>
        </oleObject>
      </mc:Choice>
      <mc:Fallback>
        <oleObject progId="Equation.3" shapeId="4101" r:id="rId12"/>
      </mc:Fallback>
    </mc:AlternateContent>
    <mc:AlternateContent xmlns:mc="http://schemas.openxmlformats.org/markup-compatibility/2006">
      <mc:Choice Requires="x14">
        <oleObject progId="Equation.3" shapeId="4102" r:id="rId14">
          <objectPr defaultSize="0" autoPict="0" r:id="rId15">
            <anchor moveWithCells="1">
              <from>
                <xdr:col>1</xdr:col>
                <xdr:colOff>495300</xdr:colOff>
                <xdr:row>36</xdr:row>
                <xdr:rowOff>76200</xdr:rowOff>
              </from>
              <to>
                <xdr:col>1</xdr:col>
                <xdr:colOff>1247775</xdr:colOff>
                <xdr:row>37</xdr:row>
                <xdr:rowOff>9525</xdr:rowOff>
              </to>
            </anchor>
          </objectPr>
        </oleObject>
      </mc:Choice>
      <mc:Fallback>
        <oleObject progId="Equation.3" shapeId="4102" r:id="rId14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7">
            <anchor moveWithCells="1">
              <from>
                <xdr:col>1</xdr:col>
                <xdr:colOff>600075</xdr:colOff>
                <xdr:row>37</xdr:row>
                <xdr:rowOff>123825</xdr:rowOff>
              </from>
              <to>
                <xdr:col>1</xdr:col>
                <xdr:colOff>1181100</xdr:colOff>
                <xdr:row>38</xdr:row>
                <xdr:rowOff>19050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4" r:id="rId18">
          <objectPr defaultSize="0" autoPict="0" r:id="rId19">
            <anchor moveWithCells="1">
              <from>
                <xdr:col>1</xdr:col>
                <xdr:colOff>714375</xdr:colOff>
                <xdr:row>39</xdr:row>
                <xdr:rowOff>57150</xdr:rowOff>
              </from>
              <to>
                <xdr:col>1</xdr:col>
                <xdr:colOff>1019175</xdr:colOff>
                <xdr:row>39</xdr:row>
                <xdr:rowOff>285750</xdr:rowOff>
              </to>
            </anchor>
          </objectPr>
        </oleObject>
      </mc:Choice>
      <mc:Fallback>
        <oleObject progId="Equation.3" shapeId="4104" r:id="rId18"/>
      </mc:Fallback>
    </mc:AlternateContent>
    <mc:AlternateContent xmlns:mc="http://schemas.openxmlformats.org/markup-compatibility/2006">
      <mc:Choice Requires="x14">
        <oleObject progId="Equation.3" shapeId="4105" r:id="rId20">
          <objectPr defaultSize="0" autoPict="0" r:id="rId21">
            <anchor moveWithCells="1">
              <from>
                <xdr:col>1</xdr:col>
                <xdr:colOff>238125</xdr:colOff>
                <xdr:row>38</xdr:row>
                <xdr:rowOff>76200</xdr:rowOff>
              </from>
              <to>
                <xdr:col>1</xdr:col>
                <xdr:colOff>1733550</xdr:colOff>
                <xdr:row>38</xdr:row>
                <xdr:rowOff>847725</xdr:rowOff>
              </to>
            </anchor>
          </objectPr>
        </oleObject>
      </mc:Choice>
      <mc:Fallback>
        <oleObject progId="Equation.3" shapeId="4105" r:id="rId20"/>
      </mc:Fallback>
    </mc:AlternateContent>
    <mc:AlternateContent xmlns:mc="http://schemas.openxmlformats.org/markup-compatibility/2006">
      <mc:Choice Requires="x14">
        <oleObject progId="Equation.3" shapeId="4106" r:id="rId22">
          <objectPr defaultSize="0" autoPict="0" r:id="rId23">
            <anchor moveWithCells="1">
              <from>
                <xdr:col>1</xdr:col>
                <xdr:colOff>571500</xdr:colOff>
                <xdr:row>40</xdr:row>
                <xdr:rowOff>85725</xdr:rowOff>
              </from>
              <to>
                <xdr:col>1</xdr:col>
                <xdr:colOff>1104900</xdr:colOff>
                <xdr:row>41</xdr:row>
                <xdr:rowOff>9525</xdr:rowOff>
              </to>
            </anchor>
          </objectPr>
        </oleObject>
      </mc:Choice>
      <mc:Fallback>
        <oleObject progId="Equation.3" shapeId="4106" r:id="rId22"/>
      </mc:Fallback>
    </mc:AlternateContent>
    <mc:AlternateContent xmlns:mc="http://schemas.openxmlformats.org/markup-compatibility/2006">
      <mc:Choice Requires="x14">
        <oleObject progId="Equation.3" shapeId="4107" r:id="rId24">
          <objectPr defaultSize="0" autoPict="0" r:id="rId25">
            <anchor moveWithCells="1">
              <from>
                <xdr:col>1</xdr:col>
                <xdr:colOff>180975</xdr:colOff>
                <xdr:row>43</xdr:row>
                <xdr:rowOff>85725</xdr:rowOff>
              </from>
              <to>
                <xdr:col>1</xdr:col>
                <xdr:colOff>1714500</xdr:colOff>
                <xdr:row>44</xdr:row>
                <xdr:rowOff>19050</xdr:rowOff>
              </to>
            </anchor>
          </objectPr>
        </oleObject>
      </mc:Choice>
      <mc:Fallback>
        <oleObject progId="Equation.3" shapeId="4107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F16"/>
  <sheetViews>
    <sheetView workbookViewId="0">
      <selection activeCell="E11" sqref="E11"/>
    </sheetView>
  </sheetViews>
  <sheetFormatPr defaultRowHeight="12.75" x14ac:dyDescent="0.2"/>
  <sheetData>
    <row r="4" spans="1:6" x14ac:dyDescent="0.2">
      <c r="A4" s="4"/>
      <c r="B4" s="4" t="s">
        <v>56</v>
      </c>
      <c r="C4" s="4" t="s">
        <v>60</v>
      </c>
      <c r="D4" s="4" t="s">
        <v>59</v>
      </c>
    </row>
    <row r="5" spans="1:6" x14ac:dyDescent="0.2">
      <c r="A5" s="4" t="s">
        <v>6</v>
      </c>
      <c r="B5" s="4">
        <v>300</v>
      </c>
      <c r="C5" s="4">
        <v>240</v>
      </c>
      <c r="D5" s="4">
        <v>120</v>
      </c>
    </row>
    <row r="6" spans="1:6" x14ac:dyDescent="0.2">
      <c r="A6" s="4" t="s">
        <v>57</v>
      </c>
      <c r="B6" s="4">
        <v>350</v>
      </c>
      <c r="C6" s="4">
        <v>290</v>
      </c>
      <c r="D6" s="4">
        <v>140</v>
      </c>
    </row>
    <row r="7" spans="1:6" x14ac:dyDescent="0.2">
      <c r="A7" s="4" t="s">
        <v>58</v>
      </c>
      <c r="B7" s="4">
        <v>400</v>
      </c>
      <c r="C7" s="4">
        <v>340</v>
      </c>
      <c r="D7" s="4">
        <v>160</v>
      </c>
    </row>
    <row r="9" spans="1:6" x14ac:dyDescent="0.2">
      <c r="E9">
        <f ca="1">LOOKUP(B4,B4:B7,B7:D7)</f>
        <v>400</v>
      </c>
    </row>
    <row r="10" spans="1:6" x14ac:dyDescent="0.2">
      <c r="F10" s="2"/>
    </row>
    <row r="11" spans="1:6" x14ac:dyDescent="0.2">
      <c r="E11">
        <f ca="1">LOOKUP(C4,A5:D5,C5:C7)</f>
        <v>240</v>
      </c>
    </row>
    <row r="13" spans="1:6" x14ac:dyDescent="0.2">
      <c r="F13" s="1"/>
    </row>
    <row r="14" spans="1:6" x14ac:dyDescent="0.2">
      <c r="F14" s="1"/>
    </row>
    <row r="16" spans="1:6" x14ac:dyDescent="0.2">
      <c r="F16" s="1"/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"/>
  <sheetViews>
    <sheetView workbookViewId="0">
      <selection sqref="A1:G1"/>
    </sheetView>
  </sheetViews>
  <sheetFormatPr defaultRowHeight="12.75" x14ac:dyDescent="0.2"/>
  <cols>
    <col min="1" max="1" width="36.7109375" customWidth="1"/>
    <col min="2" max="2" width="27.28515625" customWidth="1"/>
    <col min="3" max="3" width="31.140625" customWidth="1"/>
    <col min="4" max="4" width="51.140625" customWidth="1"/>
  </cols>
  <sheetData>
    <row r="1" spans="1:7" ht="68.25" customHeight="1" x14ac:dyDescent="0.2">
      <c r="A1" s="99" t="s">
        <v>103</v>
      </c>
      <c r="B1" s="100"/>
      <c r="C1" s="100"/>
      <c r="D1" s="100"/>
      <c r="E1" s="100"/>
      <c r="F1" s="100"/>
      <c r="G1" s="100"/>
    </row>
  </sheetData>
  <mergeCells count="1">
    <mergeCell ref="A1:G1"/>
  </mergeCells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proracun</vt:lpstr>
      <vt:lpstr>proracun (2)</vt:lpstr>
      <vt:lpstr>materijal</vt:lpstr>
      <vt:lpstr>Sheet3</vt:lpstr>
      <vt:lpstr>Sheet3!OLE_LINK1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 Soldat</dc:creator>
  <cp:lastModifiedBy>admin</cp:lastModifiedBy>
  <cp:lastPrinted>2014-10-27T19:13:57Z</cp:lastPrinted>
  <dcterms:created xsi:type="dcterms:W3CDTF">2011-02-10T15:23:56Z</dcterms:created>
  <dcterms:modified xsi:type="dcterms:W3CDTF">2014-10-27T19:14:08Z</dcterms:modified>
</cp:coreProperties>
</file>